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3"/>
  </bookViews>
  <sheets>
    <sheet name="登録" sheetId="1" r:id="rId1"/>
    <sheet name="対戦カード" sheetId="2" r:id="rId2"/>
    <sheet name="★個人成績表★" sheetId="3" r:id="rId3"/>
    <sheet name="★対戦リーグ表★" sheetId="4" r:id="rId4"/>
    <sheet name="結果入力表" sheetId="5" r:id="rId5"/>
    <sheet name="★総合結果表★" sheetId="6" r:id="rId6"/>
  </sheets>
  <definedNames>
    <definedName name="_xlnm._FilterDatabase" localSheetId="4" hidden="1">'結果入力表'!$A$1:$J$211</definedName>
    <definedName name="_xlnm.Print_Area" localSheetId="2">'★個人成績表★'!$A$1:$U$59</definedName>
    <definedName name="_xlnm.Print_Area" localSheetId="5">'★総合結果表★'!$A$1:$S$21</definedName>
    <definedName name="_xlnm.Print_Area" localSheetId="3">'★対戦リーグ表★'!$A$1:$AV$59</definedName>
    <definedName name="_xlnm.Print_Area" localSheetId="1">'対戦カード'!$A$11:$BK$310</definedName>
    <definedName name="_xlnm.Print_Area" localSheetId="0">'登録'!$A$1:$X$22</definedName>
    <definedName name="点数">'登録'!$I$8:$I$12</definedName>
  </definedNames>
  <calcPr fullCalcOnLoad="1"/>
</workbook>
</file>

<file path=xl/sharedStrings.xml><?xml version="1.0" encoding="utf-8"?>
<sst xmlns="http://schemas.openxmlformats.org/spreadsheetml/2006/main" count="2348" uniqueCount="185">
  <si>
    <t>W</t>
  </si>
  <si>
    <t>対抗戦名称</t>
  </si>
  <si>
    <t>開催日</t>
  </si>
  <si>
    <t>会場</t>
  </si>
  <si>
    <t>第</t>
  </si>
  <si>
    <t>回</t>
  </si>
  <si>
    <t>対抗戦</t>
  </si>
  <si>
    <t>チーム</t>
  </si>
  <si>
    <t>出場選手</t>
  </si>
  <si>
    <t>選手名</t>
  </si>
  <si>
    <t>得点</t>
  </si>
  <si>
    <t>男性</t>
  </si>
  <si>
    <t>女性</t>
  </si>
  <si>
    <t>点</t>
  </si>
  <si>
    <t>点数</t>
  </si>
  <si>
    <t>第1節</t>
  </si>
  <si>
    <t>W</t>
  </si>
  <si>
    <t>L</t>
  </si>
  <si>
    <t>TP</t>
  </si>
  <si>
    <t>途中経過</t>
  </si>
  <si>
    <t>選手名A</t>
  </si>
  <si>
    <t>選手名B</t>
  </si>
  <si>
    <t>所属A</t>
  </si>
  <si>
    <t>所属B</t>
  </si>
  <si>
    <t>持点</t>
  </si>
  <si>
    <t>節</t>
  </si>
  <si>
    <t>HR</t>
  </si>
  <si>
    <t>R_P</t>
  </si>
  <si>
    <t>TP</t>
  </si>
  <si>
    <t>所属</t>
  </si>
  <si>
    <t>氏名</t>
  </si>
  <si>
    <t>得点</t>
  </si>
  <si>
    <t>HR</t>
  </si>
  <si>
    <t xml:space="preserve"> </t>
  </si>
  <si>
    <t>印刷範囲の設定</t>
  </si>
  <si>
    <t>G-No</t>
  </si>
  <si>
    <t>T-No</t>
  </si>
  <si>
    <t>レフリー</t>
  </si>
  <si>
    <t>HR</t>
  </si>
  <si>
    <t>備考</t>
  </si>
  <si>
    <t>選手ID</t>
  </si>
  <si>
    <t>（</t>
  </si>
  <si>
    <t>）</t>
  </si>
  <si>
    <t>チーム</t>
  </si>
  <si>
    <t>M</t>
  </si>
  <si>
    <t>：</t>
  </si>
  <si>
    <t>：</t>
  </si>
  <si>
    <t>C</t>
  </si>
  <si>
    <t>：</t>
  </si>
  <si>
    <t>クラス</t>
  </si>
  <si>
    <t>【持点の設定】</t>
  </si>
  <si>
    <t>L</t>
  </si>
  <si>
    <t>TP</t>
  </si>
  <si>
    <t>RK</t>
  </si>
  <si>
    <t>H　R</t>
  </si>
  <si>
    <t>VP</t>
  </si>
  <si>
    <t>MVP</t>
  </si>
  <si>
    <t>クラブ</t>
  </si>
  <si>
    <t>クラブID</t>
  </si>
  <si>
    <t>クラブ名</t>
  </si>
  <si>
    <t>クラブ</t>
  </si>
  <si>
    <t>名対抗</t>
  </si>
  <si>
    <t>1節目</t>
  </si>
  <si>
    <t>2節目</t>
  </si>
  <si>
    <t>1順目</t>
  </si>
  <si>
    <t>2順目</t>
  </si>
  <si>
    <t>3順目</t>
  </si>
  <si>
    <t>4順目</t>
  </si>
  <si>
    <t>5順目</t>
  </si>
  <si>
    <t>G-No</t>
  </si>
  <si>
    <t>対戦順クラブID</t>
  </si>
  <si>
    <t>対抗戦順クラブ名</t>
  </si>
  <si>
    <t>6クラブ</t>
  </si>
  <si>
    <t>5クラブ</t>
  </si>
  <si>
    <t>G-No</t>
  </si>
  <si>
    <r>
      <t>1st</t>
    </r>
    <r>
      <rPr>
        <b/>
        <i/>
        <sz val="10"/>
        <rFont val="ＭＳ Ｐゴシック"/>
        <family val="3"/>
      </rPr>
      <t>　</t>
    </r>
    <r>
      <rPr>
        <b/>
        <i/>
        <sz val="10"/>
        <rFont val="Arial"/>
        <family val="2"/>
      </rPr>
      <t>Section</t>
    </r>
  </si>
  <si>
    <r>
      <t>2nd</t>
    </r>
    <r>
      <rPr>
        <b/>
        <i/>
        <sz val="10"/>
        <rFont val="ＭＳ Ｐゴシック"/>
        <family val="3"/>
      </rPr>
      <t>　</t>
    </r>
    <r>
      <rPr>
        <b/>
        <i/>
        <sz val="10"/>
        <rFont val="Arial"/>
        <family val="2"/>
      </rPr>
      <t>Section</t>
    </r>
  </si>
  <si>
    <t>RESULT</t>
  </si>
  <si>
    <t>R</t>
  </si>
  <si>
    <t>W</t>
  </si>
  <si>
    <t>L</t>
  </si>
  <si>
    <t>TP</t>
  </si>
  <si>
    <t>(TP)</t>
  </si>
  <si>
    <t>K</t>
  </si>
  <si>
    <t>Total</t>
  </si>
  <si>
    <t>Total</t>
  </si>
  <si>
    <t>MVP</t>
  </si>
  <si>
    <t>HR</t>
  </si>
  <si>
    <t>Team</t>
  </si>
  <si>
    <t>Player</t>
  </si>
  <si>
    <t>R_P</t>
  </si>
  <si>
    <t>MAX</t>
  </si>
  <si>
    <t>VP_R</t>
  </si>
  <si>
    <t>W</t>
  </si>
  <si>
    <t>L</t>
  </si>
  <si>
    <t>TP</t>
  </si>
  <si>
    <t>R_P</t>
  </si>
  <si>
    <t>R</t>
  </si>
  <si>
    <t>HR</t>
  </si>
  <si>
    <t>(TP)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</si>
  <si>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</si>
  <si>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</si>
  <si>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</si>
  <si>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</si>
  <si>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</si>
  <si>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</si>
  <si>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</si>
  <si>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</si>
  <si>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</si>
  <si>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</si>
  <si>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A</t>
  </si>
  <si>
    <t>B</t>
  </si>
  <si>
    <t>Ｎ</t>
  </si>
  <si>
    <t>HR_PT</t>
  </si>
  <si>
    <t>R</t>
  </si>
  <si>
    <t>max</t>
  </si>
  <si>
    <r>
      <t>1st</t>
    </r>
  </si>
  <si>
    <t>Section</t>
  </si>
  <si>
    <r>
      <t>2nd</t>
    </r>
  </si>
  <si>
    <t>handy</t>
  </si>
  <si>
    <t>VP</t>
  </si>
  <si>
    <r>
      <t>Player</t>
    </r>
    <r>
      <rPr>
        <b/>
        <i/>
        <sz val="10"/>
        <rFont val="ＭＳ Ｐゴシック"/>
        <family val="3"/>
      </rPr>
      <t>＼</t>
    </r>
    <r>
      <rPr>
        <b/>
        <i/>
        <sz val="10"/>
        <rFont val="Arial"/>
        <family val="2"/>
      </rPr>
      <t>VS</t>
    </r>
  </si>
  <si>
    <t>*</t>
  </si>
  <si>
    <t>：ハンデ換算値</t>
  </si>
  <si>
    <t>handy</t>
  </si>
  <si>
    <t>ORC</t>
  </si>
  <si>
    <t>WRC</t>
  </si>
  <si>
    <t>KRC</t>
  </si>
  <si>
    <t>NRC</t>
  </si>
  <si>
    <t>SBC</t>
  </si>
  <si>
    <t>白戸 玲人</t>
  </si>
  <si>
    <t>吉向 翔平</t>
  </si>
  <si>
    <t>HRC</t>
  </si>
  <si>
    <t>菊池 靖正</t>
  </si>
  <si>
    <t>西峰 久祐</t>
  </si>
  <si>
    <t>須藤 浩章</t>
  </si>
  <si>
    <t>折戸 和幸</t>
  </si>
  <si>
    <t>今村 哲也</t>
  </si>
  <si>
    <t>小山 久博</t>
  </si>
  <si>
    <t>伊庭 保久</t>
  </si>
  <si>
    <t>田附 裕次</t>
  </si>
  <si>
    <t>森田由佳里</t>
  </si>
  <si>
    <t>長田 智紀</t>
  </si>
  <si>
    <t>大橋 義治</t>
  </si>
  <si>
    <t>山中 康寛</t>
  </si>
  <si>
    <t>高島 太一</t>
  </si>
  <si>
    <t>酒井 美希</t>
  </si>
  <si>
    <t>近藤 拓馬</t>
  </si>
  <si>
    <t>山田 普之</t>
  </si>
  <si>
    <t>山田 晃司</t>
  </si>
  <si>
    <t>長谷川 進</t>
  </si>
  <si>
    <t>宮野 早織</t>
  </si>
  <si>
    <t>村上 泰辰</t>
  </si>
  <si>
    <t>乾　伸綱</t>
  </si>
  <si>
    <t>吉岡 保俊</t>
  </si>
  <si>
    <t>山田 玄英</t>
  </si>
  <si>
    <t>由本　拓</t>
  </si>
  <si>
    <t>田中 隆介</t>
  </si>
  <si>
    <t>西田 恵子</t>
  </si>
  <si>
    <t>京阪神和奈滋</t>
  </si>
  <si>
    <t>玉出エース</t>
  </si>
  <si>
    <t>大阪</t>
  </si>
  <si>
    <t>堂園 雅也</t>
  </si>
  <si>
    <t>長井　充</t>
  </si>
  <si>
    <t>藤中健太郎</t>
  </si>
  <si>
    <t>後藤 勇治</t>
  </si>
  <si>
    <t>丹羽 俊也</t>
  </si>
  <si>
    <t>平井 洸志</t>
  </si>
  <si>
    <t>栃下 恭子</t>
  </si>
  <si>
    <t>末岡　修</t>
  </si>
  <si>
    <t>杉本 博章</t>
  </si>
  <si>
    <t>丹次 力良</t>
  </si>
  <si>
    <t>芝先 泰生</t>
  </si>
  <si>
    <t>岸上 賢一</t>
  </si>
  <si>
    <t>中本 雅大</t>
  </si>
  <si>
    <t>松房ゆかり</t>
  </si>
  <si>
    <t>みちひで</t>
  </si>
  <si>
    <t>くにゆき</t>
  </si>
  <si>
    <t>やすひろ</t>
  </si>
  <si>
    <t>こうじ</t>
  </si>
  <si>
    <t>s</t>
  </si>
  <si>
    <t>w</t>
  </si>
  <si>
    <t>120A</t>
  </si>
  <si>
    <t>120B</t>
  </si>
  <si>
    <t>村上 泰辰　（ORC）　　　A120、B120、B120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</si>
</sst>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_"/>
    <numFmt numFmtId="179" formatCode="0;_谀"/>
    <numFmt numFmtId="180" formatCode="0;_퀀"/>
    <numFmt numFmtId="181" formatCode="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800]dddd\,\ mmmm\ dd\,\ yyyy"/>
    <numFmt numFmtId="188" formatCode="0;_쐀"/>
    <numFmt numFmtId="189" formatCode="0;_ꐀ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8"/>
      <name val="ＭＳ Ｐゴシック"/>
      <family val="3"/>
    </font>
    <font>
      <sz val="14"/>
      <color indexed="12"/>
      <name val="ＭＳ Ｐゴシック"/>
      <family val="3"/>
    </font>
    <font>
      <sz val="14"/>
      <name val="ＭＳ Ｐ明朝"/>
      <family val="1"/>
    </font>
    <font>
      <sz val="10"/>
      <color indexed="10"/>
      <name val="ＭＳ Ｐ明朝"/>
      <family val="1"/>
    </font>
    <font>
      <sz val="18"/>
      <name val="ＭＳ Ｐゴシック"/>
      <family val="3"/>
    </font>
    <font>
      <b/>
      <sz val="28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i/>
      <sz val="12"/>
      <name val="Arial"/>
      <family val="2"/>
    </font>
    <font>
      <b/>
      <i/>
      <sz val="12"/>
      <name val="ＭＳ Ｐゴシック"/>
      <family val="3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ＭＳ Ｐゴシック"/>
      <family val="3"/>
    </font>
    <font>
      <b/>
      <i/>
      <sz val="10"/>
      <color indexed="10"/>
      <name val="Arial"/>
      <family val="2"/>
    </font>
    <font>
      <i/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8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double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medium"/>
      <right>
        <color indexed="63"/>
      </right>
      <top style="double"/>
      <bottom style="thin"/>
      <diagonal style="thin"/>
    </border>
    <border>
      <left style="double"/>
      <right style="thin"/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 diagonalDown="1">
      <left style="medium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thin"/>
    </border>
    <border diagonalDown="1">
      <left style="hair"/>
      <right style="medium"/>
      <top style="thin"/>
      <bottom style="hair"/>
      <diagonal style="thin"/>
    </border>
    <border diagonalDown="1">
      <left style="thin"/>
      <right style="hair"/>
      <top style="hair"/>
      <bottom style="medium"/>
      <diagonal style="thin"/>
    </border>
    <border diagonalDown="1">
      <left style="hair"/>
      <right style="medium"/>
      <top style="hair"/>
      <bottom style="medium"/>
      <diagonal style="thin"/>
    </border>
    <border diagonalDown="1">
      <left>
        <color indexed="63"/>
      </left>
      <right style="hair"/>
      <top style="double"/>
      <bottom style="hair"/>
      <diagonal style="thin"/>
    </border>
    <border diagonalDown="1">
      <left style="hair"/>
      <right>
        <color indexed="63"/>
      </right>
      <top style="double"/>
      <bottom style="hair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>
        <color indexed="63"/>
      </right>
      <top style="hair"/>
      <bottom style="thin"/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hair"/>
      <right style="thin"/>
      <top>
        <color indexed="63"/>
      </top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>
      <alignment horizontal="center"/>
    </xf>
    <xf numFmtId="0" fontId="14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14" fillId="0" borderId="31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1" fillId="0" borderId="2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21" fillId="0" borderId="20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18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3" fillId="0" borderId="41" xfId="0" applyFont="1" applyBorder="1" applyAlignment="1">
      <alignment horizontal="centerContinuous" vertical="center"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3" fillId="0" borderId="23" xfId="0" applyFont="1" applyBorder="1" applyAlignment="1">
      <alignment horizontal="centerContinuous"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center"/>
    </xf>
    <xf numFmtId="0" fontId="19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4" fillId="0" borderId="57" xfId="0" applyFont="1" applyBorder="1" applyAlignment="1">
      <alignment horizontal="centerContinuous" vertical="center"/>
    </xf>
    <xf numFmtId="0" fontId="4" fillId="0" borderId="58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Continuous" vertical="center"/>
    </xf>
    <xf numFmtId="0" fontId="6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Continuous" vertical="center"/>
    </xf>
    <xf numFmtId="0" fontId="6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Continuous" vertical="center"/>
    </xf>
    <xf numFmtId="0" fontId="4" fillId="0" borderId="74" xfId="0" applyFont="1" applyBorder="1" applyAlignment="1">
      <alignment horizontal="centerContinuous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87" xfId="0" applyFont="1" applyBorder="1" applyAlignment="1">
      <alignment horizontal="centerContinuous" vertical="center"/>
    </xf>
    <xf numFmtId="0" fontId="4" fillId="0" borderId="88" xfId="0" applyFont="1" applyBorder="1" applyAlignment="1">
      <alignment horizontal="centerContinuous" vertical="center"/>
    </xf>
    <xf numFmtId="0" fontId="4" fillId="0" borderId="86" xfId="0" applyFont="1" applyBorder="1" applyAlignment="1">
      <alignment horizontal="centerContinuous" vertical="center"/>
    </xf>
    <xf numFmtId="0" fontId="4" fillId="0" borderId="89" xfId="0" applyFont="1" applyBorder="1" applyAlignment="1">
      <alignment horizontal="centerContinuous" vertical="center"/>
    </xf>
    <xf numFmtId="0" fontId="4" fillId="0" borderId="90" xfId="0" applyFont="1" applyBorder="1" applyAlignment="1">
      <alignment horizontal="centerContinuous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6" xfId="0" applyFont="1" applyBorder="1" applyAlignment="1">
      <alignment/>
    </xf>
    <xf numFmtId="0" fontId="18" fillId="0" borderId="0" xfId="0" applyFont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98" xfId="0" applyFont="1" applyBorder="1" applyAlignment="1">
      <alignment horizontal="right" vertical="center"/>
    </xf>
    <xf numFmtId="0" fontId="27" fillId="0" borderId="49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3" fillId="34" borderId="99" xfId="0" applyFont="1" applyFill="1" applyBorder="1" applyAlignment="1">
      <alignment horizontal="centerContinuous" vertical="center" shrinkToFit="1"/>
    </xf>
    <xf numFmtId="0" fontId="23" fillId="34" borderId="100" xfId="0" applyFont="1" applyFill="1" applyBorder="1" applyAlignment="1">
      <alignment horizontal="centerContinuous" vertical="center" shrinkToFit="1"/>
    </xf>
    <xf numFmtId="0" fontId="23" fillId="34" borderId="101" xfId="0" applyFont="1" applyFill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11" fillId="0" borderId="12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0" fontId="8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Continuous" vertical="center"/>
    </xf>
    <xf numFmtId="0" fontId="33" fillId="0" borderId="97" xfId="0" applyFont="1" applyBorder="1" applyAlignment="1">
      <alignment horizontal="centerContinuous" vertical="center"/>
    </xf>
    <xf numFmtId="0" fontId="33" fillId="0" borderId="128" xfId="0" applyFont="1" applyBorder="1" applyAlignment="1">
      <alignment horizontal="centerContinuous" vertical="center"/>
    </xf>
    <xf numFmtId="0" fontId="33" fillId="0" borderId="129" xfId="0" applyFont="1" applyBorder="1" applyAlignment="1">
      <alignment horizontal="centerContinuous" vertical="center"/>
    </xf>
    <xf numFmtId="0" fontId="33" fillId="0" borderId="130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6" fillId="0" borderId="135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36" fillId="0" borderId="13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39" xfId="0" applyFont="1" applyBorder="1" applyAlignment="1">
      <alignment/>
    </xf>
    <xf numFmtId="0" fontId="12" fillId="0" borderId="140" xfId="0" applyFont="1" applyBorder="1" applyAlignment="1">
      <alignment horizontal="center"/>
    </xf>
    <xf numFmtId="0" fontId="12" fillId="0" borderId="141" xfId="0" applyFont="1" applyBorder="1" applyAlignment="1">
      <alignment horizontal="center"/>
    </xf>
    <xf numFmtId="0" fontId="12" fillId="0" borderId="141" xfId="0" applyFont="1" applyBorder="1" applyAlignment="1">
      <alignment horizontal="right"/>
    </xf>
    <xf numFmtId="0" fontId="12" fillId="0" borderId="142" xfId="0" applyFont="1" applyBorder="1" applyAlignment="1">
      <alignment horizontal="right"/>
    </xf>
    <xf numFmtId="0" fontId="12" fillId="0" borderId="143" xfId="0" applyFont="1" applyBorder="1" applyAlignment="1">
      <alignment/>
    </xf>
    <xf numFmtId="0" fontId="12" fillId="0" borderId="144" xfId="0" applyFont="1" applyBorder="1" applyAlignment="1">
      <alignment horizontal="center"/>
    </xf>
    <xf numFmtId="0" fontId="12" fillId="0" borderId="145" xfId="0" applyFont="1" applyBorder="1" applyAlignment="1">
      <alignment horizontal="center"/>
    </xf>
    <xf numFmtId="0" fontId="12" fillId="0" borderId="146" xfId="0" applyFont="1" applyBorder="1" applyAlignment="1">
      <alignment horizontal="center"/>
    </xf>
    <xf numFmtId="0" fontId="12" fillId="0" borderId="147" xfId="0" applyFont="1" applyBorder="1" applyAlignment="1">
      <alignment/>
    </xf>
    <xf numFmtId="0" fontId="12" fillId="0" borderId="148" xfId="0" applyFont="1" applyBorder="1" applyAlignment="1">
      <alignment horizontal="center"/>
    </xf>
    <xf numFmtId="0" fontId="12" fillId="0" borderId="149" xfId="0" applyFont="1" applyBorder="1" applyAlignment="1">
      <alignment horizontal="center"/>
    </xf>
    <xf numFmtId="0" fontId="12" fillId="0" borderId="149" xfId="0" applyFont="1" applyBorder="1" applyAlignment="1">
      <alignment horizontal="right"/>
    </xf>
    <xf numFmtId="0" fontId="12" fillId="0" borderId="150" xfId="0" applyFont="1" applyBorder="1" applyAlignment="1">
      <alignment horizontal="right"/>
    </xf>
    <xf numFmtId="0" fontId="12" fillId="0" borderId="151" xfId="0" applyFont="1" applyBorder="1" applyAlignment="1">
      <alignment/>
    </xf>
    <xf numFmtId="0" fontId="12" fillId="0" borderId="152" xfId="0" applyFont="1" applyBorder="1" applyAlignment="1">
      <alignment horizontal="center"/>
    </xf>
    <xf numFmtId="0" fontId="12" fillId="0" borderId="153" xfId="0" applyFont="1" applyBorder="1" applyAlignment="1">
      <alignment horizontal="center"/>
    </xf>
    <xf numFmtId="0" fontId="12" fillId="0" borderId="153" xfId="0" applyFont="1" applyBorder="1" applyAlignment="1">
      <alignment horizontal="right"/>
    </xf>
    <xf numFmtId="0" fontId="12" fillId="0" borderId="154" xfId="0" applyFont="1" applyBorder="1" applyAlignment="1">
      <alignment horizontal="right"/>
    </xf>
    <xf numFmtId="0" fontId="12" fillId="0" borderId="155" xfId="0" applyFont="1" applyBorder="1" applyAlignment="1">
      <alignment/>
    </xf>
    <xf numFmtId="0" fontId="12" fillId="0" borderId="156" xfId="0" applyFont="1" applyBorder="1" applyAlignment="1">
      <alignment horizontal="center"/>
    </xf>
    <xf numFmtId="0" fontId="12" fillId="0" borderId="157" xfId="0" applyFont="1" applyBorder="1" applyAlignment="1">
      <alignment horizontal="center"/>
    </xf>
    <xf numFmtId="0" fontId="12" fillId="0" borderId="157" xfId="0" applyFont="1" applyBorder="1" applyAlignment="1">
      <alignment horizontal="right"/>
    </xf>
    <xf numFmtId="0" fontId="12" fillId="0" borderId="158" xfId="0" applyFont="1" applyBorder="1" applyAlignment="1">
      <alignment horizontal="right"/>
    </xf>
    <xf numFmtId="0" fontId="12" fillId="0" borderId="159" xfId="0" applyFont="1" applyBorder="1" applyAlignment="1">
      <alignment horizontal="centerContinuous"/>
    </xf>
    <xf numFmtId="0" fontId="12" fillId="0" borderId="160" xfId="0" applyFont="1" applyBorder="1" applyAlignment="1">
      <alignment horizontal="centerContinuous"/>
    </xf>
    <xf numFmtId="0" fontId="12" fillId="0" borderId="161" xfId="0" applyFont="1" applyBorder="1" applyAlignment="1">
      <alignment horizontal="centerContinuous"/>
    </xf>
    <xf numFmtId="0" fontId="38" fillId="0" borderId="0" xfId="0" applyFont="1" applyAlignment="1">
      <alignment horizontal="left"/>
    </xf>
    <xf numFmtId="0" fontId="12" fillId="0" borderId="162" xfId="0" applyFont="1" applyBorder="1" applyAlignment="1">
      <alignment/>
    </xf>
    <xf numFmtId="0" fontId="12" fillId="0" borderId="163" xfId="0" applyFont="1" applyBorder="1" applyAlignment="1">
      <alignment horizontal="left"/>
    </xf>
    <xf numFmtId="0" fontId="12" fillId="0" borderId="164" xfId="0" applyFont="1" applyBorder="1" applyAlignment="1">
      <alignment horizontal="left"/>
    </xf>
    <xf numFmtId="0" fontId="12" fillId="0" borderId="165" xfId="0" applyFont="1" applyBorder="1" applyAlignment="1">
      <alignment horizontal="left"/>
    </xf>
    <xf numFmtId="0" fontId="12" fillId="0" borderId="140" xfId="0" applyFont="1" applyBorder="1" applyAlignment="1">
      <alignment/>
    </xf>
    <xf numFmtId="0" fontId="12" fillId="0" borderId="141" xfId="0" applyFont="1" applyBorder="1" applyAlignment="1">
      <alignment horizontal="left"/>
    </xf>
    <xf numFmtId="0" fontId="12" fillId="0" borderId="142" xfId="0" applyFont="1" applyBorder="1" applyAlignment="1">
      <alignment horizontal="left"/>
    </xf>
    <xf numFmtId="0" fontId="12" fillId="0" borderId="166" xfId="0" applyFont="1" applyBorder="1" applyAlignment="1">
      <alignment/>
    </xf>
    <xf numFmtId="0" fontId="12" fillId="0" borderId="167" xfId="0" applyFont="1" applyBorder="1" applyAlignment="1">
      <alignment horizontal="left"/>
    </xf>
    <xf numFmtId="0" fontId="12" fillId="0" borderId="168" xfId="0" applyFont="1" applyBorder="1" applyAlignment="1">
      <alignment horizontal="left"/>
    </xf>
    <xf numFmtId="0" fontId="12" fillId="0" borderId="169" xfId="0" applyFont="1" applyBorder="1" applyAlignment="1">
      <alignment/>
    </xf>
    <xf numFmtId="0" fontId="12" fillId="0" borderId="170" xfId="0" applyFont="1" applyBorder="1" applyAlignment="1">
      <alignment horizontal="left"/>
    </xf>
    <xf numFmtId="0" fontId="12" fillId="0" borderId="171" xfId="0" applyFont="1" applyBorder="1" applyAlignment="1">
      <alignment horizontal="left"/>
    </xf>
    <xf numFmtId="0" fontId="37" fillId="0" borderId="172" xfId="0" applyFont="1" applyBorder="1" applyAlignment="1">
      <alignment/>
    </xf>
    <xf numFmtId="0" fontId="12" fillId="0" borderId="173" xfId="0" applyFont="1" applyBorder="1" applyAlignment="1">
      <alignment horizontal="left"/>
    </xf>
    <xf numFmtId="0" fontId="12" fillId="0" borderId="173" xfId="0" applyFont="1" applyBorder="1" applyAlignment="1">
      <alignment horizontal="center"/>
    </xf>
    <xf numFmtId="0" fontId="37" fillId="0" borderId="173" xfId="0" applyFont="1" applyBorder="1" applyAlignment="1">
      <alignment/>
    </xf>
    <xf numFmtId="0" fontId="37" fillId="0" borderId="174" xfId="0" applyFont="1" applyBorder="1" applyAlignment="1">
      <alignment/>
    </xf>
    <xf numFmtId="0" fontId="11" fillId="0" borderId="175" xfId="0" applyFont="1" applyBorder="1" applyAlignment="1">
      <alignment/>
    </xf>
    <xf numFmtId="0" fontId="0" fillId="0" borderId="165" xfId="0" applyFont="1" applyBorder="1" applyAlignment="1">
      <alignment/>
    </xf>
    <xf numFmtId="0" fontId="0" fillId="0" borderId="176" xfId="0" applyFont="1" applyBorder="1" applyAlignment="1">
      <alignment/>
    </xf>
    <xf numFmtId="0" fontId="11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42" xfId="0" applyFont="1" applyBorder="1" applyAlignment="1">
      <alignment/>
    </xf>
    <xf numFmtId="0" fontId="11" fillId="0" borderId="166" xfId="0" applyFont="1" applyBorder="1" applyAlignment="1">
      <alignment/>
    </xf>
    <xf numFmtId="0" fontId="0" fillId="0" borderId="167" xfId="0" applyFont="1" applyBorder="1" applyAlignment="1">
      <alignment/>
    </xf>
    <xf numFmtId="0" fontId="0" fillId="0" borderId="168" xfId="0" applyFont="1" applyBorder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1" fillId="0" borderId="177" xfId="0" applyFont="1" applyBorder="1" applyAlignment="1">
      <alignment horizontal="centerContinuous"/>
    </xf>
    <xf numFmtId="0" fontId="11" fillId="0" borderId="178" xfId="0" applyFont="1" applyBorder="1" applyAlignment="1">
      <alignment horizontal="centerContinuous"/>
    </xf>
    <xf numFmtId="0" fontId="11" fillId="0" borderId="179" xfId="0" applyFont="1" applyBorder="1" applyAlignment="1">
      <alignment horizontal="centerContinuous"/>
    </xf>
    <xf numFmtId="0" fontId="19" fillId="0" borderId="180" xfId="0" applyFont="1" applyBorder="1" applyAlignment="1">
      <alignment horizontal="center"/>
    </xf>
    <xf numFmtId="0" fontId="11" fillId="0" borderId="181" xfId="0" applyFont="1" applyBorder="1" applyAlignment="1">
      <alignment horizontal="centerContinuous"/>
    </xf>
    <xf numFmtId="0" fontId="11" fillId="0" borderId="37" xfId="0" applyFont="1" applyBorder="1" applyAlignment="1">
      <alignment horizontal="centerContinuous"/>
    </xf>
    <xf numFmtId="0" fontId="19" fillId="0" borderId="37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Fill="1" applyBorder="1" applyAlignment="1">
      <alignment/>
    </xf>
    <xf numFmtId="0" fontId="30" fillId="0" borderId="131" xfId="0" applyFont="1" applyBorder="1" applyAlignment="1">
      <alignment horizontal="centerContinuous" vertical="center"/>
    </xf>
    <xf numFmtId="0" fontId="32" fillId="0" borderId="131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0" fontId="11" fillId="0" borderId="18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8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30" fillId="0" borderId="132" xfId="0" applyFont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0" fillId="0" borderId="134" xfId="0" applyFont="1" applyBorder="1" applyAlignment="1">
      <alignment horizontal="center"/>
    </xf>
    <xf numFmtId="0" fontId="11" fillId="0" borderId="18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35" borderId="185" xfId="0" applyFont="1" applyFill="1" applyBorder="1" applyAlignment="1">
      <alignment horizontal="center" vertical="center"/>
    </xf>
    <xf numFmtId="0" fontId="11" fillId="35" borderId="138" xfId="0" applyFont="1" applyFill="1" applyBorder="1" applyAlignment="1">
      <alignment horizontal="center" vertical="center"/>
    </xf>
    <xf numFmtId="0" fontId="11" fillId="35" borderId="136" xfId="0" applyFont="1" applyFill="1" applyBorder="1" applyAlignment="1">
      <alignment horizontal="center" vertical="center"/>
    </xf>
    <xf numFmtId="0" fontId="11" fillId="35" borderId="186" xfId="0" applyFont="1" applyFill="1" applyBorder="1" applyAlignment="1">
      <alignment horizontal="center" vertical="center"/>
    </xf>
    <xf numFmtId="0" fontId="11" fillId="35" borderId="187" xfId="0" applyFont="1" applyFill="1" applyBorder="1" applyAlignment="1">
      <alignment horizontal="center" vertical="center"/>
    </xf>
    <xf numFmtId="0" fontId="11" fillId="35" borderId="188" xfId="0" applyFont="1" applyFill="1" applyBorder="1" applyAlignment="1">
      <alignment horizontal="center" vertical="center"/>
    </xf>
    <xf numFmtId="0" fontId="11" fillId="35" borderId="18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5" borderId="190" xfId="0" applyFont="1" applyFill="1" applyBorder="1" applyAlignment="1">
      <alignment horizontal="center" vertical="center"/>
    </xf>
    <xf numFmtId="0" fontId="11" fillId="35" borderId="191" xfId="0" applyFont="1" applyFill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35" borderId="195" xfId="0" applyFont="1" applyFill="1" applyBorder="1" applyAlignment="1">
      <alignment horizontal="center" vertical="center"/>
    </xf>
    <xf numFmtId="0" fontId="11" fillId="35" borderId="196" xfId="0" applyFont="1" applyFill="1" applyBorder="1" applyAlignment="1">
      <alignment horizontal="center" vertical="center"/>
    </xf>
    <xf numFmtId="0" fontId="11" fillId="35" borderId="197" xfId="0" applyFont="1" applyFill="1" applyBorder="1" applyAlignment="1">
      <alignment horizontal="center" vertical="center"/>
    </xf>
    <xf numFmtId="0" fontId="11" fillId="35" borderId="198" xfId="0" applyFont="1" applyFill="1" applyBorder="1" applyAlignment="1">
      <alignment horizontal="center" vertical="center"/>
    </xf>
    <xf numFmtId="0" fontId="11" fillId="0" borderId="199" xfId="0" applyFont="1" applyBorder="1" applyAlignment="1">
      <alignment horizontal="center" vertical="center"/>
    </xf>
    <xf numFmtId="0" fontId="11" fillId="0" borderId="200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/>
    </xf>
    <xf numFmtId="0" fontId="11" fillId="35" borderId="202" xfId="0" applyFont="1" applyFill="1" applyBorder="1" applyAlignment="1">
      <alignment horizontal="center" vertical="center"/>
    </xf>
    <xf numFmtId="0" fontId="11" fillId="35" borderId="203" xfId="0" applyFont="1" applyFill="1" applyBorder="1" applyAlignment="1">
      <alignment horizontal="center" vertical="center"/>
    </xf>
    <xf numFmtId="0" fontId="11" fillId="35" borderId="204" xfId="0" applyFont="1" applyFill="1" applyBorder="1" applyAlignment="1">
      <alignment horizontal="center" vertical="center"/>
    </xf>
    <xf numFmtId="0" fontId="11" fillId="35" borderId="94" xfId="0" applyFont="1" applyFill="1" applyBorder="1" applyAlignment="1">
      <alignment horizontal="center" vertical="center"/>
    </xf>
    <xf numFmtId="0" fontId="11" fillId="0" borderId="205" xfId="0" applyFont="1" applyBorder="1" applyAlignment="1">
      <alignment horizontal="center" vertical="center"/>
    </xf>
    <xf numFmtId="0" fontId="11" fillId="0" borderId="20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35" borderId="95" xfId="0" applyFont="1" applyFill="1" applyBorder="1" applyAlignment="1">
      <alignment horizontal="center" vertical="center"/>
    </xf>
    <xf numFmtId="0" fontId="11" fillId="35" borderId="20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35" borderId="208" xfId="0" applyFont="1" applyFill="1" applyBorder="1" applyAlignment="1">
      <alignment horizontal="center" vertical="center"/>
    </xf>
    <xf numFmtId="0" fontId="11" fillId="35" borderId="77" xfId="0" applyFont="1" applyFill="1" applyBorder="1" applyAlignment="1">
      <alignment horizontal="center" vertical="center"/>
    </xf>
    <xf numFmtId="0" fontId="11" fillId="0" borderId="209" xfId="0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11" fillId="35" borderId="212" xfId="0" applyFont="1" applyFill="1" applyBorder="1" applyAlignment="1">
      <alignment horizontal="center" vertical="center"/>
    </xf>
    <xf numFmtId="0" fontId="30" fillId="0" borderId="213" xfId="0" applyFont="1" applyBorder="1" applyAlignment="1">
      <alignment horizontal="centerContinuous" vertical="center"/>
    </xf>
    <xf numFmtId="0" fontId="30" fillId="0" borderId="189" xfId="0" applyFont="1" applyBorder="1" applyAlignment="1">
      <alignment horizontal="centerContinuous" vertical="center"/>
    </xf>
    <xf numFmtId="0" fontId="11" fillId="0" borderId="214" xfId="0" applyFont="1" applyBorder="1" applyAlignment="1">
      <alignment horizontal="centerContinuous"/>
    </xf>
    <xf numFmtId="0" fontId="11" fillId="0" borderId="215" xfId="0" applyFont="1" applyBorder="1" applyAlignment="1">
      <alignment horizontal="centerContinuous"/>
    </xf>
    <xf numFmtId="0" fontId="11" fillId="0" borderId="216" xfId="0" applyFont="1" applyBorder="1" applyAlignment="1">
      <alignment horizontal="centerContinuous"/>
    </xf>
    <xf numFmtId="0" fontId="11" fillId="0" borderId="217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34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Continuous" vertical="center" shrinkToFit="1"/>
    </xf>
    <xf numFmtId="0" fontId="11" fillId="0" borderId="131" xfId="0" applyFont="1" applyBorder="1" applyAlignment="1">
      <alignment horizontal="centerContinuous" vertical="center" shrinkToFit="1"/>
    </xf>
    <xf numFmtId="0" fontId="11" fillId="0" borderId="132" xfId="0" applyFont="1" applyBorder="1" applyAlignment="1">
      <alignment horizontal="center" vertical="center" shrinkToFi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2" fillId="0" borderId="141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1" fillId="0" borderId="218" xfId="0" applyFont="1" applyBorder="1" applyAlignment="1">
      <alignment horizontal="centerContinuous"/>
    </xf>
    <xf numFmtId="0" fontId="11" fillId="0" borderId="5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4" fillId="0" borderId="21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3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40" fillId="0" borderId="22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221" xfId="0" applyFont="1" applyBorder="1" applyAlignment="1">
      <alignment horizontal="left" vertical="center"/>
    </xf>
    <xf numFmtId="0" fontId="40" fillId="0" borderId="96" xfId="0" applyFont="1" applyBorder="1" applyAlignment="1">
      <alignment horizontal="left" vertical="center"/>
    </xf>
    <xf numFmtId="0" fontId="11" fillId="0" borderId="19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133" xfId="0" applyFont="1" applyBorder="1" applyAlignment="1">
      <alignment horizontal="center"/>
    </xf>
    <xf numFmtId="0" fontId="11" fillId="0" borderId="222" xfId="0" applyFont="1" applyBorder="1" applyAlignment="1">
      <alignment horizontal="center"/>
    </xf>
    <xf numFmtId="0" fontId="11" fillId="0" borderId="223" xfId="0" applyFont="1" applyBorder="1" applyAlignment="1">
      <alignment horizontal="center"/>
    </xf>
    <xf numFmtId="0" fontId="11" fillId="0" borderId="2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33" fillId="0" borderId="24" xfId="0" applyFont="1" applyBorder="1" applyAlignment="1">
      <alignment horizontal="centerContinuous" vertical="center"/>
    </xf>
    <xf numFmtId="0" fontId="33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1" fontId="11" fillId="0" borderId="225" xfId="0" applyNumberFormat="1" applyFont="1" applyBorder="1" applyAlignment="1">
      <alignment horizontal="right" vertical="center"/>
    </xf>
    <xf numFmtId="0" fontId="11" fillId="0" borderId="226" xfId="0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right" vertical="center"/>
    </xf>
    <xf numFmtId="0" fontId="11" fillId="0" borderId="177" xfId="0" applyFont="1" applyBorder="1" applyAlignment="1">
      <alignment horizontal="center" vertical="center"/>
    </xf>
    <xf numFmtId="0" fontId="11" fillId="0" borderId="227" xfId="0" applyFont="1" applyBorder="1" applyAlignment="1">
      <alignment horizontal="center" vertical="center"/>
    </xf>
    <xf numFmtId="1" fontId="11" fillId="0" borderId="228" xfId="0" applyNumberFormat="1" applyFont="1" applyBorder="1" applyAlignment="1">
      <alignment horizontal="right" vertical="center"/>
    </xf>
    <xf numFmtId="0" fontId="11" fillId="0" borderId="229" xfId="0" applyFont="1" applyBorder="1" applyAlignment="1">
      <alignment horizontal="center" vertical="center"/>
    </xf>
    <xf numFmtId="1" fontId="11" fillId="0" borderId="230" xfId="0" applyNumberFormat="1" applyFont="1" applyBorder="1" applyAlignment="1">
      <alignment horizontal="right" vertical="center"/>
    </xf>
    <xf numFmtId="0" fontId="33" fillId="0" borderId="231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12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180" xfId="0" applyFont="1" applyBorder="1" applyAlignment="1">
      <alignment horizontal="center"/>
    </xf>
    <xf numFmtId="0" fontId="30" fillId="0" borderId="132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3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4" fillId="0" borderId="189" xfId="0" applyFont="1" applyBorder="1" applyAlignment="1">
      <alignment horizontal="centerContinuous" vertical="center"/>
    </xf>
    <xf numFmtId="0" fontId="11" fillId="0" borderId="51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80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23" fillId="34" borderId="18" xfId="0" applyFont="1" applyFill="1" applyBorder="1" applyAlignment="1">
      <alignment horizontal="centerContinuous" vertical="center" shrinkToFit="1"/>
    </xf>
    <xf numFmtId="0" fontId="23" fillId="34" borderId="19" xfId="0" applyFont="1" applyFill="1" applyBorder="1" applyAlignment="1">
      <alignment horizontal="centerContinuous" vertical="center" shrinkToFit="1"/>
    </xf>
    <xf numFmtId="0" fontId="23" fillId="0" borderId="101" xfId="0" applyFont="1" applyBorder="1" applyAlignment="1">
      <alignment horizontal="center" vertical="center" shrinkToFit="1"/>
    </xf>
    <xf numFmtId="0" fontId="11" fillId="34" borderId="233" xfId="0" applyFont="1" applyFill="1" applyBorder="1" applyAlignment="1">
      <alignment horizontal="center" vertical="center"/>
    </xf>
    <xf numFmtId="0" fontId="11" fillId="34" borderId="234" xfId="0" applyFont="1" applyFill="1" applyBorder="1" applyAlignment="1">
      <alignment horizontal="center" vertical="center"/>
    </xf>
    <xf numFmtId="0" fontId="11" fillId="34" borderId="235" xfId="0" applyFont="1" applyFill="1" applyBorder="1" applyAlignment="1">
      <alignment horizontal="center" vertical="center"/>
    </xf>
    <xf numFmtId="0" fontId="11" fillId="34" borderId="236" xfId="0" applyFont="1" applyFill="1" applyBorder="1" applyAlignment="1">
      <alignment horizontal="center" vertical="center"/>
    </xf>
    <xf numFmtId="0" fontId="11" fillId="36" borderId="236" xfId="0" applyFont="1" applyFill="1" applyBorder="1" applyAlignment="1">
      <alignment horizontal="center" vertical="center"/>
    </xf>
    <xf numFmtId="0" fontId="11" fillId="36" borderId="234" xfId="0" applyFont="1" applyFill="1" applyBorder="1" applyAlignment="1">
      <alignment horizontal="center" vertical="center"/>
    </xf>
    <xf numFmtId="0" fontId="11" fillId="36" borderId="235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5" fillId="34" borderId="26" xfId="0" applyFont="1" applyFill="1" applyBorder="1" applyAlignment="1">
      <alignment vertical="center"/>
    </xf>
    <xf numFmtId="0" fontId="41" fillId="0" borderId="20" xfId="0" applyFont="1" applyBorder="1" applyAlignment="1">
      <alignment horizontal="centerContinuous" vertical="center"/>
    </xf>
    <xf numFmtId="0" fontId="41" fillId="0" borderId="21" xfId="0" applyFont="1" applyBorder="1" applyAlignment="1">
      <alignment horizontal="centerContinuous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11" fillId="0" borderId="9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0" fillId="0" borderId="134" xfId="0" applyFont="1" applyFill="1" applyBorder="1" applyAlignment="1">
      <alignment horizontal="centerContinuous" vertical="center"/>
    </xf>
    <xf numFmtId="0" fontId="30" fillId="0" borderId="24" xfId="0" applyFont="1" applyFill="1" applyBorder="1" applyAlignment="1">
      <alignment horizontal="centerContinuous" vertical="center"/>
    </xf>
    <xf numFmtId="0" fontId="30" fillId="0" borderId="231" xfId="0" applyFont="1" applyFill="1" applyBorder="1" applyAlignment="1">
      <alignment horizontal="centerContinuous" vertical="center"/>
    </xf>
    <xf numFmtId="0" fontId="11" fillId="0" borderId="23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15" xfId="0" applyFont="1" applyFill="1" applyBorder="1" applyAlignment="1">
      <alignment/>
    </xf>
    <xf numFmtId="0" fontId="11" fillId="0" borderId="177" xfId="0" applyFont="1" applyFill="1" applyBorder="1" applyAlignment="1">
      <alignment/>
    </xf>
    <xf numFmtId="0" fontId="11" fillId="0" borderId="23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16" xfId="0" applyFont="1" applyFill="1" applyBorder="1" applyAlignment="1">
      <alignment/>
    </xf>
    <xf numFmtId="0" fontId="11" fillId="0" borderId="18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239" xfId="0" applyFont="1" applyFill="1" applyBorder="1" applyAlignment="1">
      <alignment/>
    </xf>
    <xf numFmtId="0" fontId="11" fillId="0" borderId="0" xfId="0" applyFont="1" applyFill="1" applyAlignment="1">
      <alignment/>
    </xf>
    <xf numFmtId="189" fontId="41" fillId="0" borderId="240" xfId="0" applyNumberFormat="1" applyFont="1" applyFill="1" applyBorder="1" applyAlignment="1">
      <alignment horizontal="center" vertical="center"/>
    </xf>
    <xf numFmtId="189" fontId="41" fillId="0" borderId="203" xfId="0" applyNumberFormat="1" applyFont="1" applyFill="1" applyBorder="1" applyAlignment="1">
      <alignment horizontal="center" vertical="center"/>
    </xf>
    <xf numFmtId="189" fontId="41" fillId="0" borderId="207" xfId="0" applyNumberFormat="1" applyFont="1" applyFill="1" applyBorder="1" applyAlignment="1">
      <alignment horizontal="center" vertical="center"/>
    </xf>
    <xf numFmtId="0" fontId="14" fillId="0" borderId="212" xfId="0" applyFont="1" applyFill="1" applyBorder="1" applyAlignment="1">
      <alignment horizontal="center" vertical="center"/>
    </xf>
    <xf numFmtId="189" fontId="14" fillId="0" borderId="218" xfId="0" applyNumberFormat="1" applyFont="1" applyFill="1" applyBorder="1" applyAlignment="1">
      <alignment horizontal="center" vertical="center"/>
    </xf>
    <xf numFmtId="189" fontId="14" fillId="0" borderId="203" xfId="0" applyNumberFormat="1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193" xfId="0" applyFont="1" applyFill="1" applyBorder="1" applyAlignment="1">
      <alignment horizontal="center" vertical="center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35" borderId="20" xfId="0" applyFont="1" applyFill="1" applyBorder="1" applyAlignment="1">
      <alignment horizontal="center" vertical="center" shrinkToFit="1"/>
    </xf>
    <xf numFmtId="0" fontId="23" fillId="35" borderId="19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shrinkToFit="1"/>
    </xf>
    <xf numFmtId="14" fontId="27" fillId="0" borderId="23" xfId="0" applyNumberFormat="1" applyFont="1" applyBorder="1" applyAlignment="1">
      <alignment horizontal="center" vertical="center"/>
    </xf>
    <xf numFmtId="0" fontId="23" fillId="34" borderId="180" xfId="0" applyFont="1" applyFill="1" applyBorder="1" applyAlignment="1">
      <alignment horizontal="center" vertical="center" shrinkToFit="1"/>
    </xf>
    <xf numFmtId="0" fontId="23" fillId="34" borderId="241" xfId="0" applyFont="1" applyFill="1" applyBorder="1" applyAlignment="1">
      <alignment horizontal="center" vertical="center" shrinkToFit="1"/>
    </xf>
    <xf numFmtId="0" fontId="23" fillId="34" borderId="48" xfId="0" applyFont="1" applyFill="1" applyBorder="1" applyAlignment="1">
      <alignment horizontal="center" vertical="center" shrinkToFit="1"/>
    </xf>
    <xf numFmtId="0" fontId="23" fillId="34" borderId="46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32" xfId="0" applyFont="1" applyBorder="1" applyAlignment="1">
      <alignment horizontal="left" vertical="center"/>
    </xf>
    <xf numFmtId="0" fontId="3" fillId="0" borderId="130" xfId="0" applyFont="1" applyBorder="1" applyAlignment="1">
      <alignment horizontal="center" vertical="center" textRotation="255"/>
    </xf>
    <xf numFmtId="0" fontId="3" fillId="0" borderId="24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14" fontId="2" fillId="0" borderId="0" xfId="0" applyNumberFormat="1" applyFont="1" applyFill="1" applyAlignment="1">
      <alignment horizontal="right"/>
    </xf>
    <xf numFmtId="0" fontId="29" fillId="0" borderId="96" xfId="0" applyFont="1" applyFill="1" applyBorder="1" applyAlignment="1">
      <alignment horizontal="left" vertical="center"/>
    </xf>
    <xf numFmtId="0" fontId="29" fillId="0" borderId="97" xfId="0" applyFont="1" applyFill="1" applyBorder="1" applyAlignment="1">
      <alignment horizontal="left" vertical="center"/>
    </xf>
    <xf numFmtId="0" fontId="29" fillId="0" borderId="129" xfId="0" applyFont="1" applyFill="1" applyBorder="1" applyAlignment="1">
      <alignment horizontal="left" vertical="center"/>
    </xf>
    <xf numFmtId="0" fontId="14" fillId="0" borderId="243" xfId="0" applyFont="1" applyBorder="1" applyAlignment="1">
      <alignment horizontal="center" vertical="center"/>
    </xf>
    <xf numFmtId="0" fontId="0" fillId="0" borderId="244" xfId="0" applyBorder="1" applyAlignment="1">
      <alignment horizontal="center" vertical="center"/>
    </xf>
    <xf numFmtId="0" fontId="0" fillId="0" borderId="245" xfId="0" applyBorder="1" applyAlignment="1">
      <alignment horizontal="center" vertical="center"/>
    </xf>
    <xf numFmtId="0" fontId="0" fillId="0" borderId="246" xfId="0" applyBorder="1" applyAlignment="1">
      <alignment horizontal="center" vertical="center"/>
    </xf>
    <xf numFmtId="0" fontId="14" fillId="0" borderId="247" xfId="0" applyFont="1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0" fillId="0" borderId="250" xfId="0" applyBorder="1" applyAlignment="1">
      <alignment horizontal="center" vertical="center"/>
    </xf>
    <xf numFmtId="0" fontId="14" fillId="0" borderId="251" xfId="0" applyFont="1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53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14" fillId="0" borderId="252" xfId="0" applyFont="1" applyBorder="1" applyAlignment="1">
      <alignment horizontal="center" vertical="center"/>
    </xf>
    <xf numFmtId="0" fontId="14" fillId="0" borderId="253" xfId="0" applyFont="1" applyBorder="1" applyAlignment="1">
      <alignment horizontal="center" vertical="center"/>
    </xf>
    <xf numFmtId="0" fontId="14" fillId="0" borderId="2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96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29" fillId="0" borderId="129" xfId="0" applyFont="1" applyBorder="1" applyAlignment="1">
      <alignment horizontal="left" vertical="center"/>
    </xf>
    <xf numFmtId="0" fontId="26" fillId="0" borderId="220" xfId="0" applyFont="1" applyBorder="1" applyAlignment="1">
      <alignment horizontal="center" vertical="center"/>
    </xf>
    <xf numFmtId="0" fontId="26" fillId="0" borderId="255" xfId="0" applyFont="1" applyBorder="1" applyAlignment="1">
      <alignment horizontal="center" vertical="center"/>
    </xf>
    <xf numFmtId="0" fontId="26" fillId="0" borderId="256" xfId="0" applyFont="1" applyBorder="1" applyAlignment="1">
      <alignment horizontal="center" vertical="center"/>
    </xf>
    <xf numFmtId="0" fontId="26" fillId="0" borderId="257" xfId="0" applyFont="1" applyBorder="1" applyAlignment="1">
      <alignment horizontal="center" vertical="center"/>
    </xf>
    <xf numFmtId="0" fontId="26" fillId="0" borderId="196" xfId="0" applyFont="1" applyBorder="1" applyAlignment="1">
      <alignment horizontal="center" vertical="center"/>
    </xf>
    <xf numFmtId="0" fontId="26" fillId="0" borderId="258" xfId="0" applyFont="1" applyBorder="1" applyAlignment="1">
      <alignment horizontal="center" vertical="center"/>
    </xf>
    <xf numFmtId="0" fontId="26" fillId="0" borderId="130" xfId="0" applyFont="1" applyBorder="1" applyAlignment="1">
      <alignment horizontal="center" vertical="center"/>
    </xf>
    <xf numFmtId="0" fontId="26" fillId="0" borderId="133" xfId="0" applyFont="1" applyBorder="1" applyAlignment="1">
      <alignment horizontal="center" vertical="center"/>
    </xf>
    <xf numFmtId="0" fontId="21" fillId="0" borderId="259" xfId="0" applyFont="1" applyBorder="1" applyAlignment="1">
      <alignment horizontal="center" vertical="center"/>
    </xf>
    <xf numFmtId="0" fontId="21" fillId="0" borderId="260" xfId="0" applyFont="1" applyBorder="1" applyAlignment="1">
      <alignment horizontal="center" vertical="center"/>
    </xf>
    <xf numFmtId="0" fontId="21" fillId="0" borderId="179" xfId="0" applyFont="1" applyBorder="1" applyAlignment="1">
      <alignment horizontal="center" vertical="center"/>
    </xf>
    <xf numFmtId="0" fontId="21" fillId="0" borderId="261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0" fontId="21" fillId="0" borderId="262" xfId="0" applyFont="1" applyBorder="1" applyAlignment="1">
      <alignment horizontal="center" vertical="center"/>
    </xf>
    <xf numFmtId="0" fontId="21" fillId="0" borderId="263" xfId="0" applyFont="1" applyBorder="1" applyAlignment="1">
      <alignment horizontal="center" vertical="center"/>
    </xf>
    <xf numFmtId="0" fontId="21" fillId="0" borderId="264" xfId="0" applyFont="1" applyBorder="1" applyAlignment="1">
      <alignment horizontal="center" vertical="center"/>
    </xf>
    <xf numFmtId="0" fontId="21" fillId="0" borderId="26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9</xdr:row>
      <xdr:rowOff>238125</xdr:rowOff>
    </xdr:from>
    <xdr:to>
      <xdr:col>23</xdr:col>
      <xdr:colOff>38100</xdr:colOff>
      <xdr:row>12</xdr:row>
      <xdr:rowOff>38100</xdr:rowOff>
    </xdr:to>
    <xdr:sp>
      <xdr:nvSpPr>
        <xdr:cNvPr id="1" name="AutoShape 32"/>
        <xdr:cNvSpPr>
          <a:spLocks/>
        </xdr:cNvSpPr>
      </xdr:nvSpPr>
      <xdr:spPr>
        <a:xfrm>
          <a:off x="7315200" y="2809875"/>
          <a:ext cx="2619375" cy="657225"/>
        </a:xfrm>
        <a:prstGeom prst="wedgeRectCallout">
          <a:avLst>
            <a:gd name="adj1" fmla="val -34254"/>
            <a:gd name="adj2" fmla="val 12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がある場合は、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持点を変更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 fPrintsWithSheet="0"/>
  </xdr:twoCellAnchor>
  <xdr:twoCellAnchor editAs="oneCell">
    <xdr:from>
      <xdr:col>14</xdr:col>
      <xdr:colOff>419100</xdr:colOff>
      <xdr:row>6</xdr:row>
      <xdr:rowOff>0</xdr:rowOff>
    </xdr:from>
    <xdr:to>
      <xdr:col>16</xdr:col>
      <xdr:colOff>390525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1450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6</xdr:row>
      <xdr:rowOff>19050</xdr:rowOff>
    </xdr:from>
    <xdr:to>
      <xdr:col>19</xdr:col>
      <xdr:colOff>419100</xdr:colOff>
      <xdr:row>7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3355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</xdr:colOff>
      <xdr:row>5</xdr:row>
      <xdr:rowOff>276225</xdr:rowOff>
    </xdr:from>
    <xdr:to>
      <xdr:col>22</xdr:col>
      <xdr:colOff>419100</xdr:colOff>
      <xdr:row>7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049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9</xdr:row>
      <xdr:rowOff>66675</xdr:rowOff>
    </xdr:from>
    <xdr:ext cx="1047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1628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4" name="Text Box 5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5" name="Text Box 6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6" name="Text Box 8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7" name="Text Box 9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8" name="Text Box 10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9" name="Text Box 11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0" name="Text Box 12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1" name="Text Box 13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12" name="Text Box 16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13" name="Text Box 17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14" name="Text Box 18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15" name="Text Box 19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6" name="Text Box 20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R211"/>
  <sheetViews>
    <sheetView zoomScale="70" zoomScaleNormal="70" zoomScalePageLayoutView="0" workbookViewId="0" topLeftCell="A5">
      <selection activeCell="T24" sqref="T24"/>
    </sheetView>
  </sheetViews>
  <sheetFormatPr defaultColWidth="9.00390625" defaultRowHeight="13.5"/>
  <cols>
    <col min="1" max="3" width="4.625" style="1" customWidth="1"/>
    <col min="4" max="5" width="5.875" style="1" customWidth="1"/>
    <col min="6" max="6" width="5.625" style="1" customWidth="1"/>
    <col min="7" max="8" width="5.875" style="1" customWidth="1"/>
    <col min="9" max="9" width="5.625" style="1" customWidth="1"/>
    <col min="10" max="11" width="5.875" style="1" customWidth="1"/>
    <col min="12" max="12" width="5.625" style="1" customWidth="1"/>
    <col min="13" max="14" width="5.875" style="1" customWidth="1"/>
    <col min="15" max="15" width="5.625" style="1" customWidth="1"/>
    <col min="16" max="17" width="5.875" style="1" customWidth="1"/>
    <col min="18" max="18" width="5.625" style="1" customWidth="1"/>
    <col min="19" max="20" width="5.875" style="1" customWidth="1"/>
    <col min="21" max="21" width="5.625" style="1" customWidth="1"/>
    <col min="22" max="23" width="5.875" style="1" customWidth="1"/>
    <col min="24" max="24" width="5.625" style="1" customWidth="1"/>
    <col min="25" max="26" width="4.625" style="1" customWidth="1"/>
    <col min="27" max="27" width="5.625" style="1" customWidth="1"/>
    <col min="28" max="30" width="4.625" style="1" customWidth="1"/>
    <col min="31" max="33" width="9.00390625" style="62" customWidth="1"/>
    <col min="34" max="34" width="7.125" style="2" bestFit="1" customWidth="1"/>
    <col min="35" max="35" width="9.00390625" style="1" customWidth="1"/>
    <col min="36" max="36" width="10.75390625" style="1" bestFit="1" customWidth="1"/>
    <col min="37" max="40" width="10.75390625" style="1" customWidth="1"/>
    <col min="41" max="48" width="9.00390625" style="182" customWidth="1"/>
    <col min="49" max="16384" width="9.00390625" style="1" customWidth="1"/>
  </cols>
  <sheetData>
    <row r="1" spans="1:70" ht="22.5" customHeight="1">
      <c r="A1" s="63" t="s">
        <v>1</v>
      </c>
      <c r="B1" s="63"/>
      <c r="C1" s="63"/>
      <c r="D1" s="63"/>
      <c r="E1" s="64" t="s">
        <v>4</v>
      </c>
      <c r="F1" s="146">
        <v>28</v>
      </c>
      <c r="G1" s="63" t="s">
        <v>5</v>
      </c>
      <c r="H1" s="63"/>
      <c r="I1" s="478" t="s">
        <v>159</v>
      </c>
      <c r="J1" s="478"/>
      <c r="K1" s="478"/>
      <c r="L1" s="478"/>
      <c r="M1" s="66" t="s">
        <v>6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E1" s="62" t="s">
        <v>40</v>
      </c>
      <c r="AF1" s="62" t="s">
        <v>7</v>
      </c>
      <c r="AG1" s="62" t="s">
        <v>9</v>
      </c>
      <c r="AH1" s="85" t="s">
        <v>24</v>
      </c>
      <c r="AN1" s="1" t="s">
        <v>74</v>
      </c>
      <c r="AO1" s="182">
        <f>Q5</f>
        <v>6</v>
      </c>
      <c r="AP1" s="182" t="s">
        <v>57</v>
      </c>
      <c r="BC1" s="181" t="s">
        <v>70</v>
      </c>
      <c r="BD1" s="181"/>
      <c r="BE1" s="181"/>
      <c r="BF1" s="181"/>
      <c r="BG1" s="181"/>
      <c r="BH1" s="181"/>
      <c r="BI1" s="181" t="s">
        <v>71</v>
      </c>
      <c r="BJ1" s="181"/>
      <c r="BK1" s="181"/>
      <c r="BL1" s="181"/>
      <c r="BM1" s="181"/>
      <c r="BN1" s="181"/>
      <c r="BO1" s="181"/>
      <c r="BP1" s="181"/>
      <c r="BQ1" s="181"/>
      <c r="BR1" s="181"/>
    </row>
    <row r="2" spans="1:70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E2" s="62">
        <v>11</v>
      </c>
      <c r="AF2" s="62" t="str">
        <f aca="true" t="shared" si="0" ref="AF2:AF10">B$17</f>
        <v>KRC</v>
      </c>
      <c r="AG2" s="62" t="str">
        <f>D17</f>
        <v>折戸 和幸</v>
      </c>
      <c r="AH2" s="85">
        <f>F17</f>
        <v>120</v>
      </c>
      <c r="AI2" s="1">
        <v>1</v>
      </c>
      <c r="AJ2" s="1" t="s">
        <v>15</v>
      </c>
      <c r="AN2" s="1">
        <v>1</v>
      </c>
      <c r="AO2" s="183">
        <v>3</v>
      </c>
      <c r="AP2" s="184">
        <v>1</v>
      </c>
      <c r="AQ2" s="184" t="str">
        <f aca="true" t="shared" si="1" ref="AQ2:AQ65">VLOOKUP(AO2,$AZ$3:$BA$8,2,FALSE)</f>
        <v>ORC</v>
      </c>
      <c r="AR2" s="184" t="str">
        <f aca="true" t="shared" si="2" ref="AR2:AR65">VLOOKUP(VALUE(AO2&amp;AP2),$AE$2:$AG$55,3,FALSE)</f>
        <v>村上 泰辰</v>
      </c>
      <c r="AS2" s="184" t="str">
        <f aca="true" t="shared" si="3" ref="AS2:AS65">VLOOKUP(VALUE(AU2&amp;AV2),$AE$2:$AG$55,3,FALSE)</f>
        <v>白戸 玲人</v>
      </c>
      <c r="AT2" s="184" t="str">
        <f>VLOOKUP(AU2,$AZ$3:$BA$8,2,FALSE)</f>
        <v>NRC</v>
      </c>
      <c r="AU2" s="184">
        <v>4</v>
      </c>
      <c r="AV2" s="185">
        <v>1</v>
      </c>
      <c r="AZ2" s="1" t="s">
        <v>58</v>
      </c>
      <c r="BA2" s="1" t="s">
        <v>59</v>
      </c>
      <c r="BC2" s="181" t="s">
        <v>72</v>
      </c>
      <c r="BD2" s="181"/>
      <c r="BE2" s="181"/>
      <c r="BF2" s="181"/>
      <c r="BG2" s="181"/>
      <c r="BH2" s="181"/>
      <c r="BI2" s="181" t="s">
        <v>72</v>
      </c>
      <c r="BJ2" s="181"/>
      <c r="BK2" s="181"/>
      <c r="BL2" s="181"/>
      <c r="BM2" s="181"/>
      <c r="BN2" s="181"/>
      <c r="BO2" s="181" t="s">
        <v>73</v>
      </c>
      <c r="BP2" s="181"/>
      <c r="BQ2" s="181"/>
      <c r="BR2" s="181"/>
    </row>
    <row r="3" spans="1:70" ht="22.5" customHeight="1">
      <c r="A3" s="63" t="s">
        <v>2</v>
      </c>
      <c r="B3" s="63"/>
      <c r="C3" s="63"/>
      <c r="D3" s="63"/>
      <c r="E3" s="480">
        <v>42393</v>
      </c>
      <c r="F3" s="478"/>
      <c r="G3" s="478"/>
      <c r="H3" s="478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7"/>
      <c r="W3" s="63"/>
      <c r="X3" s="63"/>
      <c r="Y3" s="63"/>
      <c r="Z3" s="63"/>
      <c r="AA3" s="63"/>
      <c r="AE3" s="62">
        <v>12</v>
      </c>
      <c r="AF3" s="62" t="str">
        <f t="shared" si="0"/>
        <v>KRC</v>
      </c>
      <c r="AG3" s="62" t="str">
        <f>G17</f>
        <v>今村 哲也</v>
      </c>
      <c r="AH3" s="85">
        <f>I17</f>
        <v>120</v>
      </c>
      <c r="AI3" s="1">
        <v>2</v>
      </c>
      <c r="AN3" s="1">
        <v>2</v>
      </c>
      <c r="AO3" s="186">
        <f aca="true" t="shared" si="4" ref="AO3:AO8">AO2</f>
        <v>3</v>
      </c>
      <c r="AP3" s="187">
        <v>2</v>
      </c>
      <c r="AQ3" s="187" t="str">
        <f t="shared" si="1"/>
        <v>ORC</v>
      </c>
      <c r="AR3" s="187" t="str">
        <f t="shared" si="2"/>
        <v>乾　伸綱</v>
      </c>
      <c r="AS3" s="187" t="str">
        <f t="shared" si="3"/>
        <v>近藤 拓馬</v>
      </c>
      <c r="AT3" s="187" t="str">
        <f aca="true" t="shared" si="5" ref="AT3:AT66">VLOOKUP(AU3,$AZ$3:$BA$8,2,FALSE)</f>
        <v>NRC</v>
      </c>
      <c r="AU3" s="187">
        <f aca="true" t="shared" si="6" ref="AU3:AU8">AU2</f>
        <v>4</v>
      </c>
      <c r="AV3" s="188">
        <v>2</v>
      </c>
      <c r="AZ3" s="1">
        <v>1</v>
      </c>
      <c r="BA3" s="1" t="str">
        <f aca="true" t="shared" si="7" ref="BA3:BA8">B17</f>
        <v>KRC</v>
      </c>
      <c r="BC3" s="181">
        <v>6</v>
      </c>
      <c r="BD3" s="181">
        <v>5</v>
      </c>
      <c r="BE3" s="181">
        <v>4</v>
      </c>
      <c r="BF3" s="181">
        <v>3</v>
      </c>
      <c r="BG3" s="181">
        <v>2</v>
      </c>
      <c r="BH3" s="181"/>
      <c r="BI3" s="181" t="str">
        <f aca="true" t="shared" si="8" ref="BI3:BM8">IF(VLOOKUP(BC3,$AZ$3:$BA$8,2,TRUE)=0,"",VLOOKUP(BC3,$AZ$3:$BA$8,2,TRUE))</f>
        <v>WRC</v>
      </c>
      <c r="BJ3" s="181" t="str">
        <f t="shared" si="8"/>
        <v>SBC</v>
      </c>
      <c r="BK3" s="181" t="str">
        <f t="shared" si="8"/>
        <v>NRC</v>
      </c>
      <c r="BL3" s="181" t="str">
        <f t="shared" si="8"/>
        <v>ORC</v>
      </c>
      <c r="BM3" s="181" t="str">
        <f t="shared" si="8"/>
        <v>HRC</v>
      </c>
      <c r="BN3" s="181"/>
      <c r="BO3" s="181" t="str">
        <f>BJ3</f>
        <v>SBC</v>
      </c>
      <c r="BP3" s="181" t="str">
        <f>BK3</f>
        <v>NRC</v>
      </c>
      <c r="BQ3" s="181" t="str">
        <f>BL3</f>
        <v>ORC</v>
      </c>
      <c r="BR3" s="181" t="str">
        <f>BM3</f>
        <v>HRC</v>
      </c>
    </row>
    <row r="4" spans="1:70" ht="22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E4" s="62">
        <v>13</v>
      </c>
      <c r="AF4" s="62" t="str">
        <f t="shared" si="0"/>
        <v>KRC</v>
      </c>
      <c r="AG4" s="62" t="str">
        <f>J17</f>
        <v>小山 久博</v>
      </c>
      <c r="AH4" s="85">
        <f>L17</f>
        <v>120</v>
      </c>
      <c r="AI4" s="1">
        <v>3</v>
      </c>
      <c r="AN4" s="1">
        <v>3</v>
      </c>
      <c r="AO4" s="186">
        <f t="shared" si="4"/>
        <v>3</v>
      </c>
      <c r="AP4" s="187">
        <v>3</v>
      </c>
      <c r="AQ4" s="187" t="str">
        <f t="shared" si="1"/>
        <v>ORC</v>
      </c>
      <c r="AR4" s="187" t="str">
        <f t="shared" si="2"/>
        <v>吉岡 保俊</v>
      </c>
      <c r="AS4" s="187" t="str">
        <f t="shared" si="3"/>
        <v>吉向 翔平</v>
      </c>
      <c r="AT4" s="187" t="str">
        <f t="shared" si="5"/>
        <v>NRC</v>
      </c>
      <c r="AU4" s="187">
        <f t="shared" si="6"/>
        <v>4</v>
      </c>
      <c r="AV4" s="188">
        <v>3</v>
      </c>
      <c r="AZ4" s="1">
        <v>2</v>
      </c>
      <c r="BA4" s="1" t="str">
        <f t="shared" si="7"/>
        <v>HRC</v>
      </c>
      <c r="BC4" s="181">
        <v>5</v>
      </c>
      <c r="BD4" s="181">
        <v>3</v>
      </c>
      <c r="BE4" s="181">
        <v>6</v>
      </c>
      <c r="BF4" s="181">
        <v>4</v>
      </c>
      <c r="BG4" s="181">
        <v>1</v>
      </c>
      <c r="BH4" s="181"/>
      <c r="BI4" s="181" t="str">
        <f t="shared" si="8"/>
        <v>SBC</v>
      </c>
      <c r="BJ4" s="181" t="str">
        <f t="shared" si="8"/>
        <v>ORC</v>
      </c>
      <c r="BK4" s="181" t="str">
        <f t="shared" si="8"/>
        <v>WRC</v>
      </c>
      <c r="BL4" s="181" t="str">
        <f t="shared" si="8"/>
        <v>NRC</v>
      </c>
      <c r="BM4" s="181" t="str">
        <f t="shared" si="8"/>
        <v>KRC</v>
      </c>
      <c r="BN4" s="181"/>
      <c r="BO4" s="181" t="str">
        <f>BI4</f>
        <v>SBC</v>
      </c>
      <c r="BP4" s="181" t="str">
        <f>BJ4</f>
        <v>ORC</v>
      </c>
      <c r="BQ4" s="181" t="str">
        <f>BL4</f>
        <v>NRC</v>
      </c>
      <c r="BR4" s="181" t="str">
        <f>BM4</f>
        <v>KRC</v>
      </c>
    </row>
    <row r="5" spans="1:70" ht="22.5" customHeight="1">
      <c r="A5" s="63" t="s">
        <v>3</v>
      </c>
      <c r="B5" s="63"/>
      <c r="C5" s="63"/>
      <c r="D5" s="63"/>
      <c r="E5" s="478" t="s">
        <v>160</v>
      </c>
      <c r="F5" s="478"/>
      <c r="G5" s="478"/>
      <c r="H5" s="64" t="s">
        <v>41</v>
      </c>
      <c r="I5" s="488" t="s">
        <v>161</v>
      </c>
      <c r="J5" s="488"/>
      <c r="K5" s="63" t="s">
        <v>42</v>
      </c>
      <c r="O5" s="63"/>
      <c r="P5" s="63"/>
      <c r="Q5" s="63">
        <f>COUNTA(D17:E22)</f>
        <v>6</v>
      </c>
      <c r="R5" s="63" t="s">
        <v>60</v>
      </c>
      <c r="S5" s="63"/>
      <c r="T5" s="63">
        <f>COUNTA(D17,G17,J17,M17,P17,S17,V17,Y17)</f>
        <v>7</v>
      </c>
      <c r="U5" s="63" t="s">
        <v>61</v>
      </c>
      <c r="V5" s="63"/>
      <c r="W5" s="63"/>
      <c r="X5" s="63"/>
      <c r="Y5" s="63"/>
      <c r="Z5" s="63"/>
      <c r="AA5" s="63"/>
      <c r="AE5" s="62">
        <v>14</v>
      </c>
      <c r="AF5" s="62" t="str">
        <f t="shared" si="0"/>
        <v>KRC</v>
      </c>
      <c r="AG5" s="62" t="str">
        <f>M17</f>
        <v>伊庭 保久</v>
      </c>
      <c r="AH5" s="85">
        <f>O17</f>
        <v>120</v>
      </c>
      <c r="AI5" s="1">
        <v>4</v>
      </c>
      <c r="AN5" s="1">
        <v>4</v>
      </c>
      <c r="AO5" s="186">
        <f t="shared" si="4"/>
        <v>3</v>
      </c>
      <c r="AP5" s="187">
        <v>4</v>
      </c>
      <c r="AQ5" s="187" t="str">
        <f t="shared" si="1"/>
        <v>ORC</v>
      </c>
      <c r="AR5" s="187" t="str">
        <f t="shared" si="2"/>
        <v>山田 玄英</v>
      </c>
      <c r="AS5" s="187" t="str">
        <f t="shared" si="3"/>
        <v>山田 普之</v>
      </c>
      <c r="AT5" s="187" t="str">
        <f t="shared" si="5"/>
        <v>NRC</v>
      </c>
      <c r="AU5" s="187">
        <f t="shared" si="6"/>
        <v>4</v>
      </c>
      <c r="AV5" s="188">
        <v>4</v>
      </c>
      <c r="AZ5" s="1">
        <v>3</v>
      </c>
      <c r="BA5" s="1" t="str">
        <f t="shared" si="7"/>
        <v>ORC</v>
      </c>
      <c r="BC5" s="181">
        <v>4</v>
      </c>
      <c r="BD5" s="181">
        <v>2</v>
      </c>
      <c r="BE5" s="181">
        <v>5</v>
      </c>
      <c r="BF5" s="181">
        <v>1</v>
      </c>
      <c r="BG5" s="181">
        <v>6</v>
      </c>
      <c r="BH5" s="181"/>
      <c r="BI5" s="181" t="str">
        <f t="shared" si="8"/>
        <v>NRC</v>
      </c>
      <c r="BJ5" s="181" t="str">
        <f t="shared" si="8"/>
        <v>HRC</v>
      </c>
      <c r="BK5" s="181" t="str">
        <f t="shared" si="8"/>
        <v>SBC</v>
      </c>
      <c r="BL5" s="181" t="str">
        <f t="shared" si="8"/>
        <v>KRC</v>
      </c>
      <c r="BM5" s="181" t="str">
        <f t="shared" si="8"/>
        <v>WRC</v>
      </c>
      <c r="BN5" s="181"/>
      <c r="BO5" s="181" t="str">
        <f>BI5</f>
        <v>NRC</v>
      </c>
      <c r="BP5" s="181" t="str">
        <f>BJ5</f>
        <v>HRC</v>
      </c>
      <c r="BQ5" s="181" t="str">
        <f>BK5</f>
        <v>SBC</v>
      </c>
      <c r="BR5" s="181" t="str">
        <f>BL5</f>
        <v>KRC</v>
      </c>
    </row>
    <row r="6" spans="1:70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E6" s="62">
        <v>15</v>
      </c>
      <c r="AF6" s="62" t="str">
        <f t="shared" si="0"/>
        <v>KRC</v>
      </c>
      <c r="AG6" s="62" t="str">
        <f>P17</f>
        <v>菊池 靖正</v>
      </c>
      <c r="AH6" s="85">
        <f>R17</f>
        <v>120</v>
      </c>
      <c r="AI6" s="1">
        <v>5</v>
      </c>
      <c r="AN6" s="1">
        <v>5</v>
      </c>
      <c r="AO6" s="186">
        <f t="shared" si="4"/>
        <v>3</v>
      </c>
      <c r="AP6" s="187">
        <v>5</v>
      </c>
      <c r="AQ6" s="187" t="str">
        <f t="shared" si="1"/>
        <v>ORC</v>
      </c>
      <c r="AR6" s="187" t="str">
        <f t="shared" si="2"/>
        <v>由本　拓</v>
      </c>
      <c r="AS6" s="187" t="str">
        <f t="shared" si="3"/>
        <v>山田 晃司</v>
      </c>
      <c r="AT6" s="187" t="str">
        <f t="shared" si="5"/>
        <v>NRC</v>
      </c>
      <c r="AU6" s="187">
        <f t="shared" si="6"/>
        <v>4</v>
      </c>
      <c r="AV6" s="188">
        <v>5</v>
      </c>
      <c r="AZ6" s="1">
        <v>4</v>
      </c>
      <c r="BA6" s="1" t="str">
        <f t="shared" si="7"/>
        <v>NRC</v>
      </c>
      <c r="BC6" s="181">
        <v>3</v>
      </c>
      <c r="BD6" s="181">
        <v>6</v>
      </c>
      <c r="BE6" s="181">
        <v>1</v>
      </c>
      <c r="BF6" s="181">
        <v>2</v>
      </c>
      <c r="BG6" s="181">
        <v>5</v>
      </c>
      <c r="BH6" s="181"/>
      <c r="BI6" s="181" t="str">
        <f t="shared" si="8"/>
        <v>ORC</v>
      </c>
      <c r="BJ6" s="181" t="str">
        <f t="shared" si="8"/>
        <v>WRC</v>
      </c>
      <c r="BK6" s="181" t="str">
        <f t="shared" si="8"/>
        <v>KRC</v>
      </c>
      <c r="BL6" s="181" t="str">
        <f t="shared" si="8"/>
        <v>HRC</v>
      </c>
      <c r="BM6" s="181" t="str">
        <f t="shared" si="8"/>
        <v>SBC</v>
      </c>
      <c r="BN6" s="181"/>
      <c r="BO6" s="181" t="str">
        <f>BI6</f>
        <v>ORC</v>
      </c>
      <c r="BP6" s="181" t="str">
        <f>BK6</f>
        <v>KRC</v>
      </c>
      <c r="BQ6" s="181" t="str">
        <f>BL6</f>
        <v>HRC</v>
      </c>
      <c r="BR6" s="181" t="str">
        <f>BM6</f>
        <v>SBC</v>
      </c>
    </row>
    <row r="7" spans="1:70" ht="22.5" customHeight="1" thickBot="1">
      <c r="A7" s="63" t="s">
        <v>50</v>
      </c>
      <c r="B7" s="63"/>
      <c r="C7" s="63"/>
      <c r="D7" s="63"/>
      <c r="E7" s="81" t="s">
        <v>47</v>
      </c>
      <c r="F7" s="70" t="s">
        <v>48</v>
      </c>
      <c r="G7" s="80" t="s">
        <v>49</v>
      </c>
      <c r="H7" s="71"/>
      <c r="I7" s="72" t="s">
        <v>14</v>
      </c>
      <c r="J7" s="73"/>
      <c r="K7" s="69" t="s">
        <v>39</v>
      </c>
      <c r="L7" s="70"/>
      <c r="M7" s="70"/>
      <c r="N7" s="73"/>
      <c r="AE7" s="62">
        <v>16</v>
      </c>
      <c r="AF7" s="62" t="str">
        <f t="shared" si="0"/>
        <v>KRC</v>
      </c>
      <c r="AG7" s="62" t="str">
        <f>S17</f>
        <v>田附 裕次</v>
      </c>
      <c r="AH7" s="85">
        <f>U17</f>
        <v>120</v>
      </c>
      <c r="AI7" s="1">
        <v>6</v>
      </c>
      <c r="AN7" s="1">
        <v>6</v>
      </c>
      <c r="AO7" s="186">
        <f t="shared" si="4"/>
        <v>3</v>
      </c>
      <c r="AP7" s="187">
        <v>6</v>
      </c>
      <c r="AQ7" s="187" t="str">
        <f t="shared" si="1"/>
        <v>ORC</v>
      </c>
      <c r="AR7" s="187" t="str">
        <f t="shared" si="2"/>
        <v>田中 隆介</v>
      </c>
      <c r="AS7" s="187" t="str">
        <f t="shared" si="3"/>
        <v>長谷川 進</v>
      </c>
      <c r="AT7" s="187" t="str">
        <f t="shared" si="5"/>
        <v>NRC</v>
      </c>
      <c r="AU7" s="187">
        <f t="shared" si="6"/>
        <v>4</v>
      </c>
      <c r="AV7" s="188">
        <v>6</v>
      </c>
      <c r="AZ7" s="1">
        <v>5</v>
      </c>
      <c r="BA7" s="1" t="str">
        <f t="shared" si="7"/>
        <v>SBC</v>
      </c>
      <c r="BC7" s="181">
        <v>2</v>
      </c>
      <c r="BD7" s="181">
        <v>1</v>
      </c>
      <c r="BE7" s="181">
        <v>3</v>
      </c>
      <c r="BF7" s="181">
        <v>6</v>
      </c>
      <c r="BG7" s="181">
        <v>4</v>
      </c>
      <c r="BH7" s="181"/>
      <c r="BI7" s="181" t="str">
        <f t="shared" si="8"/>
        <v>HRC</v>
      </c>
      <c r="BJ7" s="181" t="str">
        <f t="shared" si="8"/>
        <v>KRC</v>
      </c>
      <c r="BK7" s="181" t="str">
        <f t="shared" si="8"/>
        <v>ORC</v>
      </c>
      <c r="BL7" s="181" t="str">
        <f t="shared" si="8"/>
        <v>WRC</v>
      </c>
      <c r="BM7" s="181" t="str">
        <f t="shared" si="8"/>
        <v>NRC</v>
      </c>
      <c r="BN7" s="181"/>
      <c r="BO7" s="181" t="str">
        <f>BI7</f>
        <v>HRC</v>
      </c>
      <c r="BP7" s="181" t="str">
        <f>BJ7</f>
        <v>KRC</v>
      </c>
      <c r="BQ7" s="181" t="str">
        <f>BK7</f>
        <v>ORC</v>
      </c>
      <c r="BR7" s="181" t="str">
        <f>BM7</f>
        <v>NRC</v>
      </c>
    </row>
    <row r="8" spans="1:70" ht="22.5" customHeight="1" thickTop="1">
      <c r="A8" s="63"/>
      <c r="B8" s="63"/>
      <c r="C8" s="63"/>
      <c r="D8" s="63"/>
      <c r="E8" s="82" t="s">
        <v>44</v>
      </c>
      <c r="F8" s="65" t="s">
        <v>45</v>
      </c>
      <c r="G8" s="74" t="s">
        <v>11</v>
      </c>
      <c r="H8" s="75"/>
      <c r="I8" s="147">
        <v>120</v>
      </c>
      <c r="J8" s="76" t="s">
        <v>13</v>
      </c>
      <c r="K8" s="489"/>
      <c r="L8" s="490"/>
      <c r="M8" s="490"/>
      <c r="N8" s="491"/>
      <c r="AE8" s="62">
        <v>17</v>
      </c>
      <c r="AF8" s="62" t="str">
        <f t="shared" si="0"/>
        <v>KRC</v>
      </c>
      <c r="AG8" s="62" t="str">
        <f>V17</f>
        <v>森田由佳里</v>
      </c>
      <c r="AH8" s="85">
        <f>X17</f>
        <v>100</v>
      </c>
      <c r="AI8" s="1">
        <v>7</v>
      </c>
      <c r="AN8" s="1">
        <v>7</v>
      </c>
      <c r="AO8" s="186">
        <f t="shared" si="4"/>
        <v>3</v>
      </c>
      <c r="AP8" s="190">
        <v>7</v>
      </c>
      <c r="AQ8" s="190" t="str">
        <f t="shared" si="1"/>
        <v>ORC</v>
      </c>
      <c r="AR8" s="190" t="str">
        <f t="shared" si="2"/>
        <v>西田 恵子</v>
      </c>
      <c r="AS8" s="190" t="str">
        <f t="shared" si="3"/>
        <v>宮野 早織</v>
      </c>
      <c r="AT8" s="190" t="str">
        <f t="shared" si="5"/>
        <v>NRC</v>
      </c>
      <c r="AU8" s="190">
        <f t="shared" si="6"/>
        <v>4</v>
      </c>
      <c r="AV8" s="191">
        <v>7</v>
      </c>
      <c r="AZ8" s="1">
        <v>6</v>
      </c>
      <c r="BA8" s="1" t="str">
        <f t="shared" si="7"/>
        <v>WRC</v>
      </c>
      <c r="BC8" s="181">
        <v>1</v>
      </c>
      <c r="BD8" s="181">
        <v>4</v>
      </c>
      <c r="BE8" s="181">
        <v>2</v>
      </c>
      <c r="BF8" s="181">
        <v>5</v>
      </c>
      <c r="BG8" s="181">
        <v>3</v>
      </c>
      <c r="BH8" s="181"/>
      <c r="BI8" s="181" t="str">
        <f t="shared" si="8"/>
        <v>KRC</v>
      </c>
      <c r="BJ8" s="181" t="str">
        <f t="shared" si="8"/>
        <v>NRC</v>
      </c>
      <c r="BK8" s="181" t="str">
        <f t="shared" si="8"/>
        <v>HRC</v>
      </c>
      <c r="BL8" s="181" t="str">
        <f t="shared" si="8"/>
        <v>SBC</v>
      </c>
      <c r="BM8" s="181" t="str">
        <f t="shared" si="8"/>
        <v>ORC</v>
      </c>
      <c r="BN8" s="181"/>
      <c r="BO8" s="181"/>
      <c r="BP8" s="181"/>
      <c r="BQ8" s="181"/>
      <c r="BR8" s="181"/>
    </row>
    <row r="9" spans="1:48" ht="22.5" customHeight="1">
      <c r="A9" s="63"/>
      <c r="B9" s="63"/>
      <c r="C9" s="63"/>
      <c r="D9" s="63"/>
      <c r="E9" s="83" t="s">
        <v>16</v>
      </c>
      <c r="F9" s="77" t="s">
        <v>46</v>
      </c>
      <c r="G9" s="68" t="s">
        <v>12</v>
      </c>
      <c r="H9" s="78"/>
      <c r="I9" s="148">
        <v>100</v>
      </c>
      <c r="J9" s="79" t="s">
        <v>13</v>
      </c>
      <c r="K9" s="485"/>
      <c r="L9" s="486"/>
      <c r="M9" s="486"/>
      <c r="N9" s="487"/>
      <c r="AE9" s="62">
        <v>18</v>
      </c>
      <c r="AF9" s="62" t="str">
        <f t="shared" si="0"/>
        <v>KRC</v>
      </c>
      <c r="AG9" s="62">
        <f>Y17</f>
        <v>0</v>
      </c>
      <c r="AH9" s="85">
        <f>AA17</f>
        <v>0</v>
      </c>
      <c r="AI9" s="1">
        <v>8</v>
      </c>
      <c r="AN9" s="1">
        <v>8</v>
      </c>
      <c r="AO9" s="183">
        <v>2</v>
      </c>
      <c r="AP9" s="184">
        <v>1</v>
      </c>
      <c r="AQ9" s="184" t="str">
        <f t="shared" si="1"/>
        <v>HRC</v>
      </c>
      <c r="AR9" s="184" t="str">
        <f t="shared" si="2"/>
        <v>堂園 雅也</v>
      </c>
      <c r="AS9" s="184" t="str">
        <f t="shared" si="3"/>
        <v>西峰 久祐</v>
      </c>
      <c r="AT9" s="184" t="str">
        <f t="shared" si="5"/>
        <v>SBC</v>
      </c>
      <c r="AU9" s="184">
        <v>5</v>
      </c>
      <c r="AV9" s="185">
        <v>1</v>
      </c>
    </row>
    <row r="10" spans="1:48" ht="22.5" customHeight="1">
      <c r="A10" s="63"/>
      <c r="B10" s="63"/>
      <c r="C10" s="63"/>
      <c r="D10" s="63"/>
      <c r="E10" s="83"/>
      <c r="F10" s="77" t="s">
        <v>46</v>
      </c>
      <c r="G10" s="68"/>
      <c r="H10" s="78"/>
      <c r="I10" s="84"/>
      <c r="J10" s="79" t="s">
        <v>13</v>
      </c>
      <c r="K10" s="485"/>
      <c r="L10" s="486"/>
      <c r="M10" s="486"/>
      <c r="N10" s="487"/>
      <c r="AE10" s="62">
        <v>19</v>
      </c>
      <c r="AF10" s="62" t="str">
        <f t="shared" si="0"/>
        <v>KRC</v>
      </c>
      <c r="AH10" s="85"/>
      <c r="AI10" s="1">
        <v>9</v>
      </c>
      <c r="AN10" s="1">
        <v>9</v>
      </c>
      <c r="AO10" s="186">
        <v>2</v>
      </c>
      <c r="AP10" s="187">
        <v>2</v>
      </c>
      <c r="AQ10" s="187" t="str">
        <f t="shared" si="1"/>
        <v>HRC</v>
      </c>
      <c r="AR10" s="187" t="str">
        <f t="shared" si="2"/>
        <v>長井　充</v>
      </c>
      <c r="AS10" s="187" t="str">
        <f t="shared" si="3"/>
        <v>長田 智紀</v>
      </c>
      <c r="AT10" s="187" t="str">
        <f t="shared" si="5"/>
        <v>SBC</v>
      </c>
      <c r="AU10" s="187">
        <v>5</v>
      </c>
      <c r="AV10" s="188">
        <v>2</v>
      </c>
    </row>
    <row r="11" spans="1:56" ht="22.5" customHeight="1" thickBot="1">
      <c r="A11" s="63"/>
      <c r="B11" s="63"/>
      <c r="C11" s="63"/>
      <c r="D11" s="63"/>
      <c r="E11" s="83"/>
      <c r="F11" s="77" t="s">
        <v>46</v>
      </c>
      <c r="G11" s="68"/>
      <c r="H11" s="78"/>
      <c r="I11" s="84"/>
      <c r="J11" s="79" t="s">
        <v>13</v>
      </c>
      <c r="K11" s="485"/>
      <c r="L11" s="486"/>
      <c r="M11" s="486"/>
      <c r="N11" s="487"/>
      <c r="AE11" s="62">
        <v>21</v>
      </c>
      <c r="AF11" s="62" t="str">
        <f aca="true" t="shared" si="9" ref="AF11:AF19">B$18</f>
        <v>HRC</v>
      </c>
      <c r="AG11" s="62" t="str">
        <f>D18</f>
        <v>堂園 雅也</v>
      </c>
      <c r="AH11" s="85">
        <f>F18</f>
        <v>120</v>
      </c>
      <c r="AI11" s="1">
        <v>10</v>
      </c>
      <c r="AN11" s="1">
        <v>10</v>
      </c>
      <c r="AO11" s="186">
        <v>2</v>
      </c>
      <c r="AP11" s="187">
        <v>3</v>
      </c>
      <c r="AQ11" s="187" t="str">
        <f t="shared" si="1"/>
        <v>HRC</v>
      </c>
      <c r="AR11" s="187" t="str">
        <f t="shared" si="2"/>
        <v>藤中健太郎</v>
      </c>
      <c r="AS11" s="187" t="str">
        <f t="shared" si="3"/>
        <v>大橋 義治</v>
      </c>
      <c r="AT11" s="187" t="str">
        <f t="shared" si="5"/>
        <v>SBC</v>
      </c>
      <c r="AU11" s="187">
        <v>5</v>
      </c>
      <c r="AV11" s="188">
        <v>3</v>
      </c>
      <c r="AZ11" s="1">
        <v>6</v>
      </c>
      <c r="BA11" s="1" t="s">
        <v>60</v>
      </c>
      <c r="BC11" s="1">
        <v>5</v>
      </c>
      <c r="BD11" s="1" t="s">
        <v>60</v>
      </c>
    </row>
    <row r="12" spans="1:59" ht="22.5" customHeight="1">
      <c r="A12" s="63"/>
      <c r="B12" s="63"/>
      <c r="C12" s="63"/>
      <c r="D12" s="63"/>
      <c r="E12" s="83"/>
      <c r="F12" s="77" t="s">
        <v>46</v>
      </c>
      <c r="G12" s="68"/>
      <c r="H12" s="78"/>
      <c r="I12" s="84"/>
      <c r="J12" s="79" t="s">
        <v>13</v>
      </c>
      <c r="K12" s="485"/>
      <c r="L12" s="486"/>
      <c r="M12" s="486"/>
      <c r="N12" s="487"/>
      <c r="AE12" s="62">
        <v>22</v>
      </c>
      <c r="AF12" s="62" t="str">
        <f t="shared" si="9"/>
        <v>HRC</v>
      </c>
      <c r="AG12" s="62" t="str">
        <f>G18</f>
        <v>長井　充</v>
      </c>
      <c r="AH12" s="85">
        <f>I18</f>
        <v>120</v>
      </c>
      <c r="AI12" s="1">
        <v>11</v>
      </c>
      <c r="AN12" s="1">
        <v>11</v>
      </c>
      <c r="AO12" s="186">
        <v>2</v>
      </c>
      <c r="AP12" s="187">
        <v>4</v>
      </c>
      <c r="AQ12" s="187" t="str">
        <f t="shared" si="1"/>
        <v>HRC</v>
      </c>
      <c r="AR12" s="187" t="str">
        <f t="shared" si="2"/>
        <v>後藤 勇治</v>
      </c>
      <c r="AS12" s="187" t="str">
        <f t="shared" si="3"/>
        <v>山中 康寛</v>
      </c>
      <c r="AT12" s="187" t="str">
        <f t="shared" si="5"/>
        <v>SBC</v>
      </c>
      <c r="AU12" s="187">
        <v>5</v>
      </c>
      <c r="AV12" s="188">
        <v>4</v>
      </c>
      <c r="AY12" s="149" t="s">
        <v>62</v>
      </c>
      <c r="AZ12" s="150" t="s">
        <v>64</v>
      </c>
      <c r="BA12" s="434">
        <v>3</v>
      </c>
      <c r="BB12" s="434">
        <v>4</v>
      </c>
      <c r="BC12" s="435">
        <v>3</v>
      </c>
      <c r="BD12" s="435">
        <v>4</v>
      </c>
      <c r="BF12" s="155"/>
      <c r="BG12" s="155"/>
    </row>
    <row r="13" spans="31:59" ht="22.5" customHeight="1">
      <c r="AE13" s="62">
        <v>23</v>
      </c>
      <c r="AF13" s="62" t="str">
        <f t="shared" si="9"/>
        <v>HRC</v>
      </c>
      <c r="AG13" s="62" t="str">
        <f>J18</f>
        <v>藤中健太郎</v>
      </c>
      <c r="AH13" s="85">
        <f>L18</f>
        <v>120</v>
      </c>
      <c r="AI13" s="1">
        <v>12</v>
      </c>
      <c r="AN13" s="1">
        <v>12</v>
      </c>
      <c r="AO13" s="186">
        <v>2</v>
      </c>
      <c r="AP13" s="187">
        <v>5</v>
      </c>
      <c r="AQ13" s="187" t="str">
        <f t="shared" si="1"/>
        <v>HRC</v>
      </c>
      <c r="AR13" s="187" t="str">
        <f t="shared" si="2"/>
        <v>丹羽 俊也</v>
      </c>
      <c r="AS13" s="187" t="str">
        <f t="shared" si="3"/>
        <v>高島 太一</v>
      </c>
      <c r="AT13" s="187" t="str">
        <f t="shared" si="5"/>
        <v>SBC</v>
      </c>
      <c r="AU13" s="187">
        <v>5</v>
      </c>
      <c r="AV13" s="188">
        <v>5</v>
      </c>
      <c r="AY13" s="151"/>
      <c r="AZ13" s="152"/>
      <c r="BA13" s="435">
        <v>2</v>
      </c>
      <c r="BB13" s="435">
        <v>5</v>
      </c>
      <c r="BC13" s="435">
        <v>2</v>
      </c>
      <c r="BD13" s="435">
        <v>5</v>
      </c>
      <c r="BF13" s="155"/>
      <c r="BG13" s="155"/>
    </row>
    <row r="14" spans="1:59" ht="22.5" customHeight="1">
      <c r="A14" s="63" t="s">
        <v>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E14" s="62">
        <v>24</v>
      </c>
      <c r="AF14" s="62" t="str">
        <f t="shared" si="9"/>
        <v>HRC</v>
      </c>
      <c r="AG14" s="62" t="str">
        <f>M18</f>
        <v>後藤 勇治</v>
      </c>
      <c r="AH14" s="85">
        <f>O18</f>
        <v>120</v>
      </c>
      <c r="AI14" s="1">
        <v>13</v>
      </c>
      <c r="AN14" s="1">
        <v>13</v>
      </c>
      <c r="AO14" s="186">
        <v>2</v>
      </c>
      <c r="AP14" s="187">
        <v>6</v>
      </c>
      <c r="AQ14" s="187" t="str">
        <f t="shared" si="1"/>
        <v>HRC</v>
      </c>
      <c r="AR14" s="187" t="str">
        <f t="shared" si="2"/>
        <v>平井 洸志</v>
      </c>
      <c r="AS14" s="187" t="str">
        <f t="shared" si="3"/>
        <v>須藤 浩章</v>
      </c>
      <c r="AT14" s="187" t="str">
        <f t="shared" si="5"/>
        <v>SBC</v>
      </c>
      <c r="AU14" s="187">
        <v>5</v>
      </c>
      <c r="AV14" s="188">
        <v>6</v>
      </c>
      <c r="AY14" s="151"/>
      <c r="AZ14" s="152"/>
      <c r="BA14" s="435">
        <v>1</v>
      </c>
      <c r="BB14" s="435">
        <v>6</v>
      </c>
      <c r="BC14" s="435">
        <v>1</v>
      </c>
      <c r="BD14" s="435">
        <v>4</v>
      </c>
      <c r="BF14" s="155"/>
      <c r="BG14" s="155"/>
    </row>
    <row r="15" spans="1:59" ht="22.5" customHeight="1">
      <c r="A15" s="63"/>
      <c r="B15" s="481" t="s">
        <v>43</v>
      </c>
      <c r="C15" s="482"/>
      <c r="D15" s="424">
        <v>1</v>
      </c>
      <c r="E15" s="424"/>
      <c r="F15" s="425"/>
      <c r="G15" s="424">
        <v>2</v>
      </c>
      <c r="H15" s="424"/>
      <c r="I15" s="425"/>
      <c r="J15" s="424">
        <v>3</v>
      </c>
      <c r="K15" s="424"/>
      <c r="L15" s="425"/>
      <c r="M15" s="424">
        <v>4</v>
      </c>
      <c r="N15" s="424"/>
      <c r="O15" s="425"/>
      <c r="P15" s="424">
        <v>5</v>
      </c>
      <c r="Q15" s="424"/>
      <c r="R15" s="425"/>
      <c r="S15" s="424">
        <v>6</v>
      </c>
      <c r="T15" s="424"/>
      <c r="U15" s="425"/>
      <c r="V15" s="424">
        <v>7</v>
      </c>
      <c r="W15" s="424"/>
      <c r="X15" s="425"/>
      <c r="Y15" s="63"/>
      <c r="Z15" s="63"/>
      <c r="AA15" s="63"/>
      <c r="AE15" s="62">
        <v>25</v>
      </c>
      <c r="AF15" s="62" t="str">
        <f t="shared" si="9"/>
        <v>HRC</v>
      </c>
      <c r="AG15" s="62" t="str">
        <f>P18</f>
        <v>丹羽 俊也</v>
      </c>
      <c r="AH15" s="85">
        <f>R18</f>
        <v>120</v>
      </c>
      <c r="AI15" s="1">
        <v>14</v>
      </c>
      <c r="AN15" s="1">
        <v>14</v>
      </c>
      <c r="AO15" s="189">
        <v>2</v>
      </c>
      <c r="AP15" s="190">
        <v>7</v>
      </c>
      <c r="AQ15" s="190" t="str">
        <f t="shared" si="1"/>
        <v>HRC</v>
      </c>
      <c r="AR15" s="190" t="str">
        <f t="shared" si="2"/>
        <v>栃下 恭子</v>
      </c>
      <c r="AS15" s="190" t="str">
        <f t="shared" si="3"/>
        <v>酒井 美希</v>
      </c>
      <c r="AT15" s="190" t="str">
        <f t="shared" si="5"/>
        <v>SBC</v>
      </c>
      <c r="AU15" s="190">
        <v>5</v>
      </c>
      <c r="AV15" s="191">
        <v>7</v>
      </c>
      <c r="AY15" s="151"/>
      <c r="AZ15" s="152" t="s">
        <v>65</v>
      </c>
      <c r="BA15" s="435">
        <v>2</v>
      </c>
      <c r="BB15" s="435">
        <v>3</v>
      </c>
      <c r="BC15" s="435">
        <v>2</v>
      </c>
      <c r="BD15" s="435">
        <v>3</v>
      </c>
      <c r="BF15" s="155"/>
      <c r="BG15" s="155"/>
    </row>
    <row r="16" spans="1:59" ht="22.5" customHeight="1">
      <c r="A16" s="63"/>
      <c r="B16" s="483"/>
      <c r="C16" s="484"/>
      <c r="D16" s="158" t="s">
        <v>9</v>
      </c>
      <c r="E16" s="159"/>
      <c r="F16" s="160" t="s">
        <v>24</v>
      </c>
      <c r="G16" s="158" t="s">
        <v>9</v>
      </c>
      <c r="H16" s="159"/>
      <c r="I16" s="160" t="s">
        <v>24</v>
      </c>
      <c r="J16" s="158" t="s">
        <v>9</v>
      </c>
      <c r="K16" s="159"/>
      <c r="L16" s="160" t="s">
        <v>24</v>
      </c>
      <c r="M16" s="158" t="s">
        <v>9</v>
      </c>
      <c r="N16" s="159"/>
      <c r="O16" s="160" t="s">
        <v>24</v>
      </c>
      <c r="P16" s="158" t="s">
        <v>9</v>
      </c>
      <c r="Q16" s="159"/>
      <c r="R16" s="160" t="s">
        <v>24</v>
      </c>
      <c r="S16" s="158" t="s">
        <v>9</v>
      </c>
      <c r="T16" s="159"/>
      <c r="U16" s="160" t="s">
        <v>24</v>
      </c>
      <c r="V16" s="158" t="s">
        <v>9</v>
      </c>
      <c r="W16" s="159"/>
      <c r="X16" s="160" t="s">
        <v>24</v>
      </c>
      <c r="Y16" s="63"/>
      <c r="Z16" s="63"/>
      <c r="AA16" s="63"/>
      <c r="AE16" s="62">
        <v>26</v>
      </c>
      <c r="AF16" s="62" t="str">
        <f t="shared" si="9"/>
        <v>HRC</v>
      </c>
      <c r="AG16" s="62" t="str">
        <f>S18</f>
        <v>平井 洸志</v>
      </c>
      <c r="AH16" s="85">
        <f>U18</f>
        <v>120</v>
      </c>
      <c r="AI16" s="1">
        <v>15</v>
      </c>
      <c r="AN16" s="1">
        <v>15</v>
      </c>
      <c r="AO16" s="183">
        <v>1</v>
      </c>
      <c r="AP16" s="184">
        <v>1</v>
      </c>
      <c r="AQ16" s="184" t="str">
        <f t="shared" si="1"/>
        <v>KRC</v>
      </c>
      <c r="AR16" s="184" t="str">
        <f t="shared" si="2"/>
        <v>折戸 和幸</v>
      </c>
      <c r="AS16" s="184" t="str">
        <f t="shared" si="3"/>
        <v>末岡　修</v>
      </c>
      <c r="AT16" s="184" t="str">
        <f t="shared" si="5"/>
        <v>WRC</v>
      </c>
      <c r="AU16" s="184">
        <f>IF(AO1=5,4,6)</f>
        <v>6</v>
      </c>
      <c r="AV16" s="185">
        <v>1</v>
      </c>
      <c r="AY16" s="151"/>
      <c r="AZ16" s="152"/>
      <c r="BA16" s="435">
        <v>6</v>
      </c>
      <c r="BB16" s="435">
        <v>4</v>
      </c>
      <c r="BC16" s="435">
        <v>1</v>
      </c>
      <c r="BD16" s="435">
        <v>5</v>
      </c>
      <c r="BF16" s="155"/>
      <c r="BG16" s="155"/>
    </row>
    <row r="17" spans="1:59" ht="22.5" customHeight="1">
      <c r="A17" s="63"/>
      <c r="B17" s="479" t="s">
        <v>127</v>
      </c>
      <c r="C17" s="479"/>
      <c r="D17" s="472" t="s">
        <v>136</v>
      </c>
      <c r="E17" s="473"/>
      <c r="F17" s="426">
        <v>120</v>
      </c>
      <c r="G17" s="472" t="s">
        <v>137</v>
      </c>
      <c r="H17" s="473"/>
      <c r="I17" s="426">
        <v>120</v>
      </c>
      <c r="J17" s="472" t="s">
        <v>138</v>
      </c>
      <c r="K17" s="473"/>
      <c r="L17" s="426">
        <v>120</v>
      </c>
      <c r="M17" s="472" t="s">
        <v>139</v>
      </c>
      <c r="N17" s="473"/>
      <c r="O17" s="426">
        <v>120</v>
      </c>
      <c r="P17" s="472" t="s">
        <v>133</v>
      </c>
      <c r="Q17" s="473"/>
      <c r="R17" s="426">
        <v>120</v>
      </c>
      <c r="S17" s="472" t="s">
        <v>140</v>
      </c>
      <c r="T17" s="473"/>
      <c r="U17" s="426">
        <v>120</v>
      </c>
      <c r="V17" s="472" t="s">
        <v>141</v>
      </c>
      <c r="W17" s="473"/>
      <c r="X17" s="426">
        <v>100</v>
      </c>
      <c r="Y17" s="63"/>
      <c r="Z17" s="63"/>
      <c r="AA17" s="63"/>
      <c r="AE17" s="62">
        <v>27</v>
      </c>
      <c r="AF17" s="62" t="str">
        <f t="shared" si="9"/>
        <v>HRC</v>
      </c>
      <c r="AG17" s="62" t="str">
        <f>V18</f>
        <v>栃下 恭子</v>
      </c>
      <c r="AH17" s="85">
        <f>X18</f>
        <v>100</v>
      </c>
      <c r="AI17" s="1">
        <v>16</v>
      </c>
      <c r="AN17" s="1">
        <v>16</v>
      </c>
      <c r="AO17" s="186">
        <f aca="true" t="shared" si="10" ref="AO17:AO22">AO16</f>
        <v>1</v>
      </c>
      <c r="AP17" s="187">
        <v>2</v>
      </c>
      <c r="AQ17" s="187" t="str">
        <f t="shared" si="1"/>
        <v>KRC</v>
      </c>
      <c r="AR17" s="187" t="str">
        <f t="shared" si="2"/>
        <v>今村 哲也</v>
      </c>
      <c r="AS17" s="187" t="str">
        <f t="shared" si="3"/>
        <v>杉本 博章</v>
      </c>
      <c r="AT17" s="187" t="str">
        <f t="shared" si="5"/>
        <v>WRC</v>
      </c>
      <c r="AU17" s="187">
        <f aca="true" t="shared" si="11" ref="AU17:AU22">AU16</f>
        <v>6</v>
      </c>
      <c r="AV17" s="188">
        <v>2</v>
      </c>
      <c r="AY17" s="151"/>
      <c r="AZ17" s="152"/>
      <c r="BA17" s="435">
        <v>1</v>
      </c>
      <c r="BB17" s="435">
        <v>5</v>
      </c>
      <c r="BC17" s="435">
        <v>4</v>
      </c>
      <c r="BD17" s="435">
        <v>2</v>
      </c>
      <c r="BF17" s="155"/>
      <c r="BG17" s="155"/>
    </row>
    <row r="18" spans="1:59" ht="22.5" customHeight="1">
      <c r="A18" s="63"/>
      <c r="B18" s="479" t="s">
        <v>132</v>
      </c>
      <c r="C18" s="479"/>
      <c r="D18" s="472" t="s">
        <v>162</v>
      </c>
      <c r="E18" s="473"/>
      <c r="F18" s="426">
        <v>120</v>
      </c>
      <c r="G18" s="472" t="s">
        <v>163</v>
      </c>
      <c r="H18" s="473"/>
      <c r="I18" s="426">
        <v>120</v>
      </c>
      <c r="J18" s="472" t="s">
        <v>164</v>
      </c>
      <c r="K18" s="473"/>
      <c r="L18" s="426">
        <v>120</v>
      </c>
      <c r="M18" s="472" t="s">
        <v>165</v>
      </c>
      <c r="N18" s="473"/>
      <c r="O18" s="426">
        <v>120</v>
      </c>
      <c r="P18" s="472" t="s">
        <v>166</v>
      </c>
      <c r="Q18" s="473"/>
      <c r="R18" s="426">
        <v>120</v>
      </c>
      <c r="S18" s="472" t="s">
        <v>167</v>
      </c>
      <c r="T18" s="473"/>
      <c r="U18" s="426">
        <v>120</v>
      </c>
      <c r="V18" s="472" t="s">
        <v>168</v>
      </c>
      <c r="W18" s="473"/>
      <c r="X18" s="426">
        <v>100</v>
      </c>
      <c r="Y18" s="63"/>
      <c r="Z18" s="63"/>
      <c r="AA18" s="63"/>
      <c r="AE18" s="62">
        <v>28</v>
      </c>
      <c r="AF18" s="62" t="str">
        <f t="shared" si="9"/>
        <v>HRC</v>
      </c>
      <c r="AG18" s="62">
        <f>Y18</f>
        <v>0</v>
      </c>
      <c r="AH18" s="85">
        <f>AA18</f>
        <v>0</v>
      </c>
      <c r="AI18" s="1">
        <v>17</v>
      </c>
      <c r="AN18" s="1">
        <v>17</v>
      </c>
      <c r="AO18" s="186">
        <f t="shared" si="10"/>
        <v>1</v>
      </c>
      <c r="AP18" s="187">
        <v>3</v>
      </c>
      <c r="AQ18" s="187" t="str">
        <f t="shared" si="1"/>
        <v>KRC</v>
      </c>
      <c r="AR18" s="187" t="str">
        <f t="shared" si="2"/>
        <v>小山 久博</v>
      </c>
      <c r="AS18" s="187" t="str">
        <f t="shared" si="3"/>
        <v>丹次 力良</v>
      </c>
      <c r="AT18" s="187" t="str">
        <f t="shared" si="5"/>
        <v>WRC</v>
      </c>
      <c r="AU18" s="187">
        <f t="shared" si="11"/>
        <v>6</v>
      </c>
      <c r="AV18" s="188">
        <v>3</v>
      </c>
      <c r="AY18" s="151"/>
      <c r="AZ18" s="152" t="s">
        <v>66</v>
      </c>
      <c r="BA18" s="435">
        <v>6</v>
      </c>
      <c r="BB18" s="435">
        <v>2</v>
      </c>
      <c r="BC18" s="435">
        <v>3</v>
      </c>
      <c r="BD18" s="435">
        <v>5</v>
      </c>
      <c r="BF18" s="155"/>
      <c r="BG18" s="155"/>
    </row>
    <row r="19" spans="1:59" ht="22.5" customHeight="1">
      <c r="A19" s="63"/>
      <c r="B19" s="479" t="s">
        <v>125</v>
      </c>
      <c r="C19" s="479"/>
      <c r="D19" s="476" t="s">
        <v>152</v>
      </c>
      <c r="E19" s="477"/>
      <c r="F19" s="426">
        <v>120</v>
      </c>
      <c r="G19" s="476" t="s">
        <v>153</v>
      </c>
      <c r="H19" s="477"/>
      <c r="I19" s="426">
        <v>120</v>
      </c>
      <c r="J19" s="476" t="s">
        <v>154</v>
      </c>
      <c r="K19" s="477"/>
      <c r="L19" s="426">
        <v>120</v>
      </c>
      <c r="M19" s="476" t="s">
        <v>155</v>
      </c>
      <c r="N19" s="477"/>
      <c r="O19" s="426">
        <v>120</v>
      </c>
      <c r="P19" s="476" t="s">
        <v>156</v>
      </c>
      <c r="Q19" s="477"/>
      <c r="R19" s="426">
        <v>120</v>
      </c>
      <c r="S19" s="476" t="s">
        <v>157</v>
      </c>
      <c r="T19" s="477"/>
      <c r="U19" s="426">
        <v>120</v>
      </c>
      <c r="V19" s="476" t="s">
        <v>158</v>
      </c>
      <c r="W19" s="477"/>
      <c r="X19" s="426">
        <v>100</v>
      </c>
      <c r="Y19" s="63"/>
      <c r="Z19" s="63"/>
      <c r="AA19" s="63"/>
      <c r="AE19" s="62">
        <v>29</v>
      </c>
      <c r="AF19" s="62" t="str">
        <f t="shared" si="9"/>
        <v>HRC</v>
      </c>
      <c r="AH19" s="85"/>
      <c r="AI19" s="1">
        <v>18</v>
      </c>
      <c r="AN19" s="1">
        <v>18</v>
      </c>
      <c r="AO19" s="186">
        <f t="shared" si="10"/>
        <v>1</v>
      </c>
      <c r="AP19" s="187">
        <v>4</v>
      </c>
      <c r="AQ19" s="187" t="str">
        <f t="shared" si="1"/>
        <v>KRC</v>
      </c>
      <c r="AR19" s="187" t="str">
        <f t="shared" si="2"/>
        <v>伊庭 保久</v>
      </c>
      <c r="AS19" s="187" t="str">
        <f t="shared" si="3"/>
        <v>芝先 泰生</v>
      </c>
      <c r="AT19" s="187" t="str">
        <f t="shared" si="5"/>
        <v>WRC</v>
      </c>
      <c r="AU19" s="187">
        <f t="shared" si="11"/>
        <v>6</v>
      </c>
      <c r="AV19" s="188">
        <v>4</v>
      </c>
      <c r="AY19" s="151"/>
      <c r="AZ19" s="152"/>
      <c r="BA19" s="435">
        <v>5</v>
      </c>
      <c r="BB19" s="435">
        <v>3</v>
      </c>
      <c r="BC19" s="435">
        <v>1</v>
      </c>
      <c r="BD19" s="435">
        <v>2</v>
      </c>
      <c r="BF19" s="155"/>
      <c r="BG19" s="155"/>
    </row>
    <row r="20" spans="1:59" ht="22.5" customHeight="1">
      <c r="A20" s="63"/>
      <c r="B20" s="474" t="s">
        <v>128</v>
      </c>
      <c r="C20" s="475"/>
      <c r="D20" s="476" t="s">
        <v>130</v>
      </c>
      <c r="E20" s="477"/>
      <c r="F20" s="426">
        <v>120</v>
      </c>
      <c r="G20" s="476" t="s">
        <v>147</v>
      </c>
      <c r="H20" s="477"/>
      <c r="I20" s="426">
        <v>120</v>
      </c>
      <c r="J20" s="476" t="s">
        <v>131</v>
      </c>
      <c r="K20" s="477"/>
      <c r="L20" s="426">
        <v>120</v>
      </c>
      <c r="M20" s="476" t="s">
        <v>148</v>
      </c>
      <c r="N20" s="477"/>
      <c r="O20" s="426">
        <v>120</v>
      </c>
      <c r="P20" s="476" t="s">
        <v>149</v>
      </c>
      <c r="Q20" s="477"/>
      <c r="R20" s="426">
        <v>120</v>
      </c>
      <c r="S20" s="476" t="s">
        <v>150</v>
      </c>
      <c r="T20" s="477"/>
      <c r="U20" s="426">
        <v>120</v>
      </c>
      <c r="V20" s="476" t="s">
        <v>151</v>
      </c>
      <c r="W20" s="477"/>
      <c r="X20" s="426">
        <v>100</v>
      </c>
      <c r="Y20" s="63"/>
      <c r="Z20" s="63"/>
      <c r="AA20" s="63"/>
      <c r="AE20" s="62">
        <v>31</v>
      </c>
      <c r="AF20" s="62" t="str">
        <f aca="true" t="shared" si="12" ref="AF20:AF28">B$19</f>
        <v>ORC</v>
      </c>
      <c r="AG20" s="62" t="str">
        <f>D19</f>
        <v>村上 泰辰</v>
      </c>
      <c r="AH20" s="85">
        <f>F19</f>
        <v>120</v>
      </c>
      <c r="AI20" s="1">
        <v>19</v>
      </c>
      <c r="AN20" s="1">
        <v>19</v>
      </c>
      <c r="AO20" s="186">
        <f t="shared" si="10"/>
        <v>1</v>
      </c>
      <c r="AP20" s="187">
        <v>5</v>
      </c>
      <c r="AQ20" s="187" t="str">
        <f t="shared" si="1"/>
        <v>KRC</v>
      </c>
      <c r="AR20" s="187" t="str">
        <f t="shared" si="2"/>
        <v>菊池 靖正</v>
      </c>
      <c r="AS20" s="187" t="str">
        <f t="shared" si="3"/>
        <v>岸上 賢一</v>
      </c>
      <c r="AT20" s="187" t="str">
        <f t="shared" si="5"/>
        <v>WRC</v>
      </c>
      <c r="AU20" s="187">
        <f t="shared" si="11"/>
        <v>6</v>
      </c>
      <c r="AV20" s="188">
        <v>5</v>
      </c>
      <c r="AY20" s="151"/>
      <c r="AZ20" s="152"/>
      <c r="BA20" s="435">
        <v>1</v>
      </c>
      <c r="BB20" s="435">
        <v>4</v>
      </c>
      <c r="BC20" s="435">
        <v>4</v>
      </c>
      <c r="BD20" s="435">
        <v>5</v>
      </c>
      <c r="BF20" s="155"/>
      <c r="BG20" s="155"/>
    </row>
    <row r="21" spans="1:59" ht="22.5" customHeight="1" thickBot="1">
      <c r="A21" s="63"/>
      <c r="B21" s="474" t="s">
        <v>129</v>
      </c>
      <c r="C21" s="475"/>
      <c r="D21" s="472" t="s">
        <v>134</v>
      </c>
      <c r="E21" s="473"/>
      <c r="F21" s="426">
        <v>120</v>
      </c>
      <c r="G21" s="472" t="s">
        <v>142</v>
      </c>
      <c r="H21" s="473"/>
      <c r="I21" s="426">
        <v>120</v>
      </c>
      <c r="J21" s="472" t="s">
        <v>143</v>
      </c>
      <c r="K21" s="473"/>
      <c r="L21" s="426">
        <v>120</v>
      </c>
      <c r="M21" s="472" t="s">
        <v>144</v>
      </c>
      <c r="N21" s="473"/>
      <c r="O21" s="426">
        <v>120</v>
      </c>
      <c r="P21" s="472" t="s">
        <v>145</v>
      </c>
      <c r="Q21" s="473"/>
      <c r="R21" s="426">
        <v>120</v>
      </c>
      <c r="S21" s="472" t="s">
        <v>135</v>
      </c>
      <c r="T21" s="473"/>
      <c r="U21" s="426">
        <v>120</v>
      </c>
      <c r="V21" s="472" t="s">
        <v>146</v>
      </c>
      <c r="W21" s="473"/>
      <c r="X21" s="426">
        <v>100</v>
      </c>
      <c r="Y21" s="63"/>
      <c r="Z21" s="63"/>
      <c r="AA21" s="63"/>
      <c r="AE21" s="62">
        <v>32</v>
      </c>
      <c r="AF21" s="62" t="str">
        <f t="shared" si="12"/>
        <v>ORC</v>
      </c>
      <c r="AG21" s="62" t="str">
        <f>G19</f>
        <v>乾　伸綱</v>
      </c>
      <c r="AH21" s="85">
        <f>I19</f>
        <v>120</v>
      </c>
      <c r="AI21" s="1">
        <v>20</v>
      </c>
      <c r="AN21" s="1">
        <v>20</v>
      </c>
      <c r="AO21" s="186">
        <f t="shared" si="10"/>
        <v>1</v>
      </c>
      <c r="AP21" s="187">
        <v>6</v>
      </c>
      <c r="AQ21" s="187" t="str">
        <f t="shared" si="1"/>
        <v>KRC</v>
      </c>
      <c r="AR21" s="187" t="str">
        <f t="shared" si="2"/>
        <v>田附 裕次</v>
      </c>
      <c r="AS21" s="187" t="str">
        <f t="shared" si="3"/>
        <v>中本 雅大</v>
      </c>
      <c r="AT21" s="187" t="str">
        <f t="shared" si="5"/>
        <v>WRC</v>
      </c>
      <c r="AU21" s="187">
        <f t="shared" si="11"/>
        <v>6</v>
      </c>
      <c r="AV21" s="188">
        <v>6</v>
      </c>
      <c r="AY21" s="151"/>
      <c r="AZ21" s="152" t="s">
        <v>67</v>
      </c>
      <c r="BA21" s="435">
        <v>5</v>
      </c>
      <c r="BB21" s="435">
        <v>6</v>
      </c>
      <c r="BC21" s="436">
        <v>3</v>
      </c>
      <c r="BD21" s="436">
        <v>1</v>
      </c>
      <c r="BF21" s="155"/>
      <c r="BG21" s="155"/>
    </row>
    <row r="22" spans="1:59" ht="22.5" customHeight="1">
      <c r="A22" s="63"/>
      <c r="B22" s="474" t="s">
        <v>126</v>
      </c>
      <c r="C22" s="475"/>
      <c r="D22" s="476" t="s">
        <v>169</v>
      </c>
      <c r="E22" s="477"/>
      <c r="F22" s="426">
        <v>120</v>
      </c>
      <c r="G22" s="476" t="s">
        <v>170</v>
      </c>
      <c r="H22" s="477"/>
      <c r="I22" s="426">
        <v>120</v>
      </c>
      <c r="J22" s="476" t="s">
        <v>171</v>
      </c>
      <c r="K22" s="477"/>
      <c r="L22" s="426">
        <v>120</v>
      </c>
      <c r="M22" s="476" t="s">
        <v>172</v>
      </c>
      <c r="N22" s="477"/>
      <c r="O22" s="426">
        <v>120</v>
      </c>
      <c r="P22" s="476" t="s">
        <v>173</v>
      </c>
      <c r="Q22" s="477"/>
      <c r="R22" s="426">
        <v>120</v>
      </c>
      <c r="S22" s="476" t="s">
        <v>174</v>
      </c>
      <c r="T22" s="477"/>
      <c r="U22" s="426">
        <v>120</v>
      </c>
      <c r="V22" s="476" t="s">
        <v>175</v>
      </c>
      <c r="W22" s="477"/>
      <c r="X22" s="426">
        <v>100</v>
      </c>
      <c r="Y22" s="63"/>
      <c r="Z22" s="63"/>
      <c r="AA22" s="63"/>
      <c r="AE22" s="62">
        <v>33</v>
      </c>
      <c r="AF22" s="62" t="str">
        <f t="shared" si="12"/>
        <v>ORC</v>
      </c>
      <c r="AG22" s="62" t="str">
        <f>J19</f>
        <v>吉岡 保俊</v>
      </c>
      <c r="AH22" s="85">
        <f>L19</f>
        <v>120</v>
      </c>
      <c r="AI22" s="1">
        <v>21</v>
      </c>
      <c r="AN22" s="1">
        <v>21</v>
      </c>
      <c r="AO22" s="189">
        <f t="shared" si="10"/>
        <v>1</v>
      </c>
      <c r="AP22" s="190">
        <v>7</v>
      </c>
      <c r="AQ22" s="190" t="str">
        <f t="shared" si="1"/>
        <v>KRC</v>
      </c>
      <c r="AR22" s="190" t="str">
        <f t="shared" si="2"/>
        <v>森田由佳里</v>
      </c>
      <c r="AS22" s="190" t="str">
        <f t="shared" si="3"/>
        <v>松房ゆかり</v>
      </c>
      <c r="AT22" s="190" t="str">
        <f t="shared" si="5"/>
        <v>WRC</v>
      </c>
      <c r="AU22" s="190">
        <f t="shared" si="11"/>
        <v>6</v>
      </c>
      <c r="AV22" s="191">
        <v>7</v>
      </c>
      <c r="AY22" s="151"/>
      <c r="AZ22" s="152"/>
      <c r="BA22" s="435">
        <v>4</v>
      </c>
      <c r="BB22" s="435">
        <v>2</v>
      </c>
      <c r="BC22" s="434">
        <v>2</v>
      </c>
      <c r="BD22" s="434">
        <v>5</v>
      </c>
      <c r="BF22" s="155"/>
      <c r="BG22" s="155"/>
    </row>
    <row r="23" spans="31:61" ht="22.5" customHeight="1">
      <c r="AE23" s="62">
        <v>34</v>
      </c>
      <c r="AF23" s="62" t="str">
        <f t="shared" si="12"/>
        <v>ORC</v>
      </c>
      <c r="AG23" s="62" t="str">
        <f>M19</f>
        <v>山田 玄英</v>
      </c>
      <c r="AH23" s="85">
        <f>O19</f>
        <v>120</v>
      </c>
      <c r="AI23" s="1">
        <v>22</v>
      </c>
      <c r="AN23" s="1">
        <v>22</v>
      </c>
      <c r="AO23" s="183">
        <v>2</v>
      </c>
      <c r="AP23" s="184">
        <v>1</v>
      </c>
      <c r="AQ23" s="184" t="str">
        <f t="shared" si="1"/>
        <v>HRC</v>
      </c>
      <c r="AR23" s="184" t="str">
        <f t="shared" si="2"/>
        <v>堂園 雅也</v>
      </c>
      <c r="AS23" s="184" t="str">
        <f t="shared" si="3"/>
        <v>村上 泰辰</v>
      </c>
      <c r="AT23" s="184" t="str">
        <f t="shared" si="5"/>
        <v>ORC</v>
      </c>
      <c r="AU23" s="184">
        <v>3</v>
      </c>
      <c r="AV23" s="185">
        <v>1</v>
      </c>
      <c r="AY23" s="151"/>
      <c r="AZ23" s="152"/>
      <c r="BA23" s="435">
        <v>1</v>
      </c>
      <c r="BB23" s="435">
        <v>3</v>
      </c>
      <c r="BC23" s="435">
        <v>3</v>
      </c>
      <c r="BD23" s="435">
        <v>4</v>
      </c>
      <c r="BH23"/>
      <c r="BI23"/>
    </row>
    <row r="24" spans="13:61" ht="22.5" customHeight="1">
      <c r="M24" s="1" t="s">
        <v>176</v>
      </c>
      <c r="AE24" s="62">
        <v>35</v>
      </c>
      <c r="AF24" s="62" t="str">
        <f t="shared" si="12"/>
        <v>ORC</v>
      </c>
      <c r="AG24" s="62" t="str">
        <f>P19</f>
        <v>由本　拓</v>
      </c>
      <c r="AH24" s="85">
        <f>R19</f>
        <v>120</v>
      </c>
      <c r="AI24" s="1">
        <v>23</v>
      </c>
      <c r="AN24" s="1">
        <v>23</v>
      </c>
      <c r="AO24" s="186">
        <f aca="true" t="shared" si="13" ref="AO24:AO29">AO23</f>
        <v>2</v>
      </c>
      <c r="AP24" s="187">
        <v>2</v>
      </c>
      <c r="AQ24" s="187" t="str">
        <f t="shared" si="1"/>
        <v>HRC</v>
      </c>
      <c r="AR24" s="187" t="str">
        <f t="shared" si="2"/>
        <v>長井　充</v>
      </c>
      <c r="AS24" s="187" t="str">
        <f t="shared" si="3"/>
        <v>乾　伸綱</v>
      </c>
      <c r="AT24" s="187" t="str">
        <f t="shared" si="5"/>
        <v>ORC</v>
      </c>
      <c r="AU24" s="187">
        <f aca="true" t="shared" si="14" ref="AU24:AU29">AU23</f>
        <v>3</v>
      </c>
      <c r="AV24" s="188">
        <v>2</v>
      </c>
      <c r="AY24" s="151"/>
      <c r="AZ24" s="152" t="s">
        <v>68</v>
      </c>
      <c r="BA24" s="435">
        <v>4</v>
      </c>
      <c r="BB24" s="435">
        <v>5</v>
      </c>
      <c r="BC24" s="435">
        <v>1</v>
      </c>
      <c r="BD24" s="435">
        <v>5</v>
      </c>
      <c r="BH24"/>
      <c r="BI24"/>
    </row>
    <row r="25" spans="13:61" ht="22.5" customHeight="1">
      <c r="M25" s="1" t="s">
        <v>177</v>
      </c>
      <c r="P25" s="1" t="s">
        <v>179</v>
      </c>
      <c r="AE25" s="62">
        <v>36</v>
      </c>
      <c r="AF25" s="62" t="str">
        <f t="shared" si="12"/>
        <v>ORC</v>
      </c>
      <c r="AG25" s="62" t="str">
        <f>S19</f>
        <v>田中 隆介</v>
      </c>
      <c r="AH25" s="85">
        <f>U19</f>
        <v>120</v>
      </c>
      <c r="AI25" s="1">
        <v>24</v>
      </c>
      <c r="AN25" s="1">
        <v>24</v>
      </c>
      <c r="AO25" s="186">
        <f t="shared" si="13"/>
        <v>2</v>
      </c>
      <c r="AP25" s="187">
        <v>3</v>
      </c>
      <c r="AQ25" s="187" t="str">
        <f t="shared" si="1"/>
        <v>HRC</v>
      </c>
      <c r="AR25" s="187" t="str">
        <f t="shared" si="2"/>
        <v>藤中健太郎</v>
      </c>
      <c r="AS25" s="187" t="str">
        <f t="shared" si="3"/>
        <v>吉岡 保俊</v>
      </c>
      <c r="AT25" s="187" t="str">
        <f t="shared" si="5"/>
        <v>ORC</v>
      </c>
      <c r="AU25" s="187">
        <f t="shared" si="14"/>
        <v>3</v>
      </c>
      <c r="AV25" s="188">
        <v>3</v>
      </c>
      <c r="AY25" s="151"/>
      <c r="AZ25" s="152"/>
      <c r="BA25" s="435">
        <v>3</v>
      </c>
      <c r="BB25" s="435">
        <v>6</v>
      </c>
      <c r="BC25" s="435">
        <v>3</v>
      </c>
      <c r="BD25" s="435">
        <v>2</v>
      </c>
      <c r="BH25"/>
      <c r="BI25"/>
    </row>
    <row r="26" spans="13:61" ht="22.5" customHeight="1" thickBot="1">
      <c r="M26" s="1" t="s">
        <v>178</v>
      </c>
      <c r="AE26" s="62">
        <v>37</v>
      </c>
      <c r="AF26" s="62" t="str">
        <f t="shared" si="12"/>
        <v>ORC</v>
      </c>
      <c r="AG26" s="62" t="str">
        <f>V19</f>
        <v>西田 恵子</v>
      </c>
      <c r="AH26" s="85">
        <f>X19</f>
        <v>100</v>
      </c>
      <c r="AI26" s="1">
        <v>25</v>
      </c>
      <c r="AN26" s="1">
        <v>25</v>
      </c>
      <c r="AO26" s="186">
        <f t="shared" si="13"/>
        <v>2</v>
      </c>
      <c r="AP26" s="187">
        <v>4</v>
      </c>
      <c r="AQ26" s="187" t="str">
        <f t="shared" si="1"/>
        <v>HRC</v>
      </c>
      <c r="AR26" s="187" t="str">
        <f t="shared" si="2"/>
        <v>後藤 勇治</v>
      </c>
      <c r="AS26" s="187" t="str">
        <f t="shared" si="3"/>
        <v>山田 玄英</v>
      </c>
      <c r="AT26" s="187" t="str">
        <f t="shared" si="5"/>
        <v>ORC</v>
      </c>
      <c r="AU26" s="187">
        <f t="shared" si="14"/>
        <v>3</v>
      </c>
      <c r="AV26" s="188">
        <v>4</v>
      </c>
      <c r="AY26" s="153"/>
      <c r="AZ26" s="154"/>
      <c r="BA26" s="436">
        <v>1</v>
      </c>
      <c r="BB26" s="436">
        <v>2</v>
      </c>
      <c r="BC26" s="435">
        <v>1</v>
      </c>
      <c r="BD26" s="435">
        <v>4</v>
      </c>
      <c r="BH26"/>
      <c r="BI26"/>
    </row>
    <row r="27" spans="31:61" ht="22.5" customHeight="1">
      <c r="AE27" s="62">
        <v>38</v>
      </c>
      <c r="AF27" s="62" t="str">
        <f t="shared" si="12"/>
        <v>ORC</v>
      </c>
      <c r="AG27" s="62">
        <f>Y19</f>
        <v>0</v>
      </c>
      <c r="AH27" s="85">
        <f>AA19</f>
        <v>0</v>
      </c>
      <c r="AI27" s="1">
        <v>26</v>
      </c>
      <c r="AN27" s="1">
        <v>26</v>
      </c>
      <c r="AO27" s="186">
        <f t="shared" si="13"/>
        <v>2</v>
      </c>
      <c r="AP27" s="187">
        <v>5</v>
      </c>
      <c r="AQ27" s="187" t="str">
        <f t="shared" si="1"/>
        <v>HRC</v>
      </c>
      <c r="AR27" s="187" t="str">
        <f t="shared" si="2"/>
        <v>丹羽 俊也</v>
      </c>
      <c r="AS27" s="187" t="str">
        <f t="shared" si="3"/>
        <v>由本　拓</v>
      </c>
      <c r="AT27" s="187" t="str">
        <f t="shared" si="5"/>
        <v>ORC</v>
      </c>
      <c r="AU27" s="187">
        <f t="shared" si="14"/>
        <v>3</v>
      </c>
      <c r="AV27" s="188">
        <v>5</v>
      </c>
      <c r="AY27" s="149" t="s">
        <v>63</v>
      </c>
      <c r="AZ27" s="150" t="s">
        <v>64</v>
      </c>
      <c r="BA27" s="434">
        <v>3</v>
      </c>
      <c r="BB27" s="434">
        <v>4</v>
      </c>
      <c r="BC27" s="435">
        <v>3</v>
      </c>
      <c r="BD27" s="435">
        <v>5</v>
      </c>
      <c r="BH27"/>
      <c r="BI27"/>
    </row>
    <row r="28" spans="31:61" ht="22.5" customHeight="1">
      <c r="AE28" s="62">
        <v>39</v>
      </c>
      <c r="AF28" s="62" t="str">
        <f t="shared" si="12"/>
        <v>ORC</v>
      </c>
      <c r="AH28" s="85"/>
      <c r="AI28" s="1">
        <v>27</v>
      </c>
      <c r="AN28" s="1">
        <v>27</v>
      </c>
      <c r="AO28" s="186">
        <f t="shared" si="13"/>
        <v>2</v>
      </c>
      <c r="AP28" s="187">
        <v>6</v>
      </c>
      <c r="AQ28" s="187" t="str">
        <f t="shared" si="1"/>
        <v>HRC</v>
      </c>
      <c r="AR28" s="187" t="str">
        <f t="shared" si="2"/>
        <v>平井 洸志</v>
      </c>
      <c r="AS28" s="187" t="str">
        <f t="shared" si="3"/>
        <v>田中 隆介</v>
      </c>
      <c r="AT28" s="187" t="str">
        <f t="shared" si="5"/>
        <v>ORC</v>
      </c>
      <c r="AU28" s="187">
        <f t="shared" si="14"/>
        <v>3</v>
      </c>
      <c r="AV28" s="188">
        <v>6</v>
      </c>
      <c r="AY28" s="151"/>
      <c r="AZ28" s="152"/>
      <c r="BA28" s="435">
        <v>2</v>
      </c>
      <c r="BB28" s="435">
        <v>5</v>
      </c>
      <c r="BC28" s="435">
        <v>4</v>
      </c>
      <c r="BD28" s="435">
        <v>2</v>
      </c>
      <c r="BH28"/>
      <c r="BI28"/>
    </row>
    <row r="29" spans="31:61" ht="22.5" customHeight="1">
      <c r="AE29" s="62">
        <v>41</v>
      </c>
      <c r="AF29" s="62" t="str">
        <f aca="true" t="shared" si="15" ref="AF29:AF37">B$20</f>
        <v>NRC</v>
      </c>
      <c r="AG29" s="62" t="str">
        <f>D20</f>
        <v>白戸 玲人</v>
      </c>
      <c r="AH29" s="85">
        <f>F20</f>
        <v>120</v>
      </c>
      <c r="AI29" s="1">
        <v>28</v>
      </c>
      <c r="AN29" s="1">
        <v>28</v>
      </c>
      <c r="AO29" s="189">
        <f t="shared" si="13"/>
        <v>2</v>
      </c>
      <c r="AP29" s="190">
        <v>7</v>
      </c>
      <c r="AQ29" s="190" t="str">
        <f t="shared" si="1"/>
        <v>HRC</v>
      </c>
      <c r="AR29" s="190" t="str">
        <f t="shared" si="2"/>
        <v>栃下 恭子</v>
      </c>
      <c r="AS29" s="190" t="str">
        <f t="shared" si="3"/>
        <v>西田 恵子</v>
      </c>
      <c r="AT29" s="190" t="str">
        <f t="shared" si="5"/>
        <v>ORC</v>
      </c>
      <c r="AU29" s="190">
        <f t="shared" si="14"/>
        <v>3</v>
      </c>
      <c r="AV29" s="191">
        <v>7</v>
      </c>
      <c r="AY29" s="151"/>
      <c r="AZ29" s="152"/>
      <c r="BA29" s="435">
        <v>1</v>
      </c>
      <c r="BB29" s="435">
        <v>6</v>
      </c>
      <c r="BC29" s="435">
        <v>3</v>
      </c>
      <c r="BD29" s="435">
        <v>1</v>
      </c>
      <c r="BH29"/>
      <c r="BI29"/>
    </row>
    <row r="30" spans="31:61" ht="22.5" customHeight="1">
      <c r="AE30" s="62">
        <v>42</v>
      </c>
      <c r="AF30" s="62" t="str">
        <f t="shared" si="15"/>
        <v>NRC</v>
      </c>
      <c r="AG30" s="62" t="str">
        <f>G20</f>
        <v>近藤 拓馬</v>
      </c>
      <c r="AH30" s="85">
        <f>I20</f>
        <v>120</v>
      </c>
      <c r="AI30" s="1">
        <v>29</v>
      </c>
      <c r="AN30" s="1">
        <v>29</v>
      </c>
      <c r="AO30" s="183">
        <f>IF(AO1=5,1,6)</f>
        <v>6</v>
      </c>
      <c r="AP30" s="184">
        <v>1</v>
      </c>
      <c r="AQ30" s="184" t="str">
        <f t="shared" si="1"/>
        <v>WRC</v>
      </c>
      <c r="AR30" s="184" t="str">
        <f t="shared" si="2"/>
        <v>末岡　修</v>
      </c>
      <c r="AS30" s="184" t="str">
        <f t="shared" si="3"/>
        <v>白戸 玲人</v>
      </c>
      <c r="AT30" s="184" t="str">
        <f t="shared" si="5"/>
        <v>NRC</v>
      </c>
      <c r="AU30" s="184">
        <f>IF(AO1=5,5,4)</f>
        <v>4</v>
      </c>
      <c r="AV30" s="185">
        <v>1</v>
      </c>
      <c r="AY30" s="151"/>
      <c r="AZ30" s="152" t="s">
        <v>65</v>
      </c>
      <c r="BA30" s="435">
        <v>2</v>
      </c>
      <c r="BB30" s="435">
        <v>3</v>
      </c>
      <c r="BC30" s="435">
        <v>4</v>
      </c>
      <c r="BD30" s="435">
        <v>5</v>
      </c>
      <c r="BH30"/>
      <c r="BI30"/>
    </row>
    <row r="31" spans="31:61" ht="22.5" customHeight="1" thickBot="1">
      <c r="AE31" s="62">
        <v>43</v>
      </c>
      <c r="AF31" s="62" t="str">
        <f t="shared" si="15"/>
        <v>NRC</v>
      </c>
      <c r="AG31" s="62" t="str">
        <f>J20</f>
        <v>吉向 翔平</v>
      </c>
      <c r="AH31" s="85">
        <f>L20</f>
        <v>120</v>
      </c>
      <c r="AI31" s="1">
        <v>30</v>
      </c>
      <c r="AN31" s="1">
        <v>30</v>
      </c>
      <c r="AO31" s="186">
        <f aca="true" t="shared" si="16" ref="AO31:AO94">AO30</f>
        <v>6</v>
      </c>
      <c r="AP31" s="187">
        <v>2</v>
      </c>
      <c r="AQ31" s="187" t="str">
        <f t="shared" si="1"/>
        <v>WRC</v>
      </c>
      <c r="AR31" s="187" t="str">
        <f t="shared" si="2"/>
        <v>杉本 博章</v>
      </c>
      <c r="AS31" s="187" t="str">
        <f t="shared" si="3"/>
        <v>近藤 拓馬</v>
      </c>
      <c r="AT31" s="187" t="str">
        <f t="shared" si="5"/>
        <v>NRC</v>
      </c>
      <c r="AU31" s="187">
        <f aca="true" t="shared" si="17" ref="AU31:AU36">AU30</f>
        <v>4</v>
      </c>
      <c r="AV31" s="188">
        <v>2</v>
      </c>
      <c r="AY31" s="151"/>
      <c r="AZ31" s="152"/>
      <c r="BA31" s="435">
        <v>6</v>
      </c>
      <c r="BB31" s="435">
        <v>4</v>
      </c>
      <c r="BC31" s="436">
        <v>1</v>
      </c>
      <c r="BD31" s="436">
        <v>2</v>
      </c>
      <c r="BH31"/>
      <c r="BI31"/>
    </row>
    <row r="32" spans="31:61" ht="22.5" customHeight="1">
      <c r="AE32" s="62">
        <v>44</v>
      </c>
      <c r="AF32" s="62" t="str">
        <f t="shared" si="15"/>
        <v>NRC</v>
      </c>
      <c r="AG32" s="62" t="str">
        <f>M20</f>
        <v>山田 普之</v>
      </c>
      <c r="AH32" s="85">
        <f>O20</f>
        <v>120</v>
      </c>
      <c r="AI32" s="1">
        <v>31</v>
      </c>
      <c r="AN32" s="1">
        <v>31</v>
      </c>
      <c r="AO32" s="186">
        <f t="shared" si="16"/>
        <v>6</v>
      </c>
      <c r="AP32" s="187">
        <v>3</v>
      </c>
      <c r="AQ32" s="187" t="str">
        <f t="shared" si="1"/>
        <v>WRC</v>
      </c>
      <c r="AR32" s="187" t="str">
        <f t="shared" si="2"/>
        <v>丹次 力良</v>
      </c>
      <c r="AS32" s="187" t="str">
        <f t="shared" si="3"/>
        <v>吉向 翔平</v>
      </c>
      <c r="AT32" s="187" t="str">
        <f t="shared" si="5"/>
        <v>NRC</v>
      </c>
      <c r="AU32" s="187">
        <f t="shared" si="17"/>
        <v>4</v>
      </c>
      <c r="AV32" s="188">
        <v>3</v>
      </c>
      <c r="AY32" s="151"/>
      <c r="AZ32" s="152"/>
      <c r="BA32" s="155">
        <v>1</v>
      </c>
      <c r="BB32" s="155">
        <v>5</v>
      </c>
      <c r="BH32"/>
      <c r="BI32"/>
    </row>
    <row r="33" spans="31:61" ht="22.5" customHeight="1">
      <c r="AE33" s="62">
        <v>45</v>
      </c>
      <c r="AF33" s="62" t="str">
        <f t="shared" si="15"/>
        <v>NRC</v>
      </c>
      <c r="AG33" s="62" t="str">
        <f>P20</f>
        <v>山田 晃司</v>
      </c>
      <c r="AH33" s="85">
        <f>R20</f>
        <v>120</v>
      </c>
      <c r="AI33" s="1">
        <v>32</v>
      </c>
      <c r="AN33" s="1">
        <v>32</v>
      </c>
      <c r="AO33" s="186">
        <f t="shared" si="16"/>
        <v>6</v>
      </c>
      <c r="AP33" s="187">
        <v>4</v>
      </c>
      <c r="AQ33" s="187" t="str">
        <f t="shared" si="1"/>
        <v>WRC</v>
      </c>
      <c r="AR33" s="187" t="str">
        <f t="shared" si="2"/>
        <v>芝先 泰生</v>
      </c>
      <c r="AS33" s="187" t="str">
        <f t="shared" si="3"/>
        <v>山田 普之</v>
      </c>
      <c r="AT33" s="187" t="str">
        <f t="shared" si="5"/>
        <v>NRC</v>
      </c>
      <c r="AU33" s="187">
        <f t="shared" si="17"/>
        <v>4</v>
      </c>
      <c r="AV33" s="188">
        <v>4</v>
      </c>
      <c r="AY33" s="151"/>
      <c r="AZ33" s="152" t="s">
        <v>66</v>
      </c>
      <c r="BA33" s="155">
        <v>6</v>
      </c>
      <c r="BB33" s="155">
        <v>2</v>
      </c>
      <c r="BH33"/>
      <c r="BI33"/>
    </row>
    <row r="34" spans="31:61" ht="22.5" customHeight="1">
      <c r="AE34" s="62">
        <v>46</v>
      </c>
      <c r="AF34" s="62" t="str">
        <f t="shared" si="15"/>
        <v>NRC</v>
      </c>
      <c r="AG34" s="62" t="str">
        <f>S20</f>
        <v>長谷川 進</v>
      </c>
      <c r="AH34" s="85">
        <f>U20</f>
        <v>120</v>
      </c>
      <c r="AI34" s="1">
        <v>33</v>
      </c>
      <c r="AN34" s="1">
        <v>33</v>
      </c>
      <c r="AO34" s="186">
        <f t="shared" si="16"/>
        <v>6</v>
      </c>
      <c r="AP34" s="187">
        <v>5</v>
      </c>
      <c r="AQ34" s="187" t="str">
        <f t="shared" si="1"/>
        <v>WRC</v>
      </c>
      <c r="AR34" s="187" t="str">
        <f t="shared" si="2"/>
        <v>岸上 賢一</v>
      </c>
      <c r="AS34" s="187" t="str">
        <f t="shared" si="3"/>
        <v>山田 晃司</v>
      </c>
      <c r="AT34" s="187" t="str">
        <f t="shared" si="5"/>
        <v>NRC</v>
      </c>
      <c r="AU34" s="187">
        <f t="shared" si="17"/>
        <v>4</v>
      </c>
      <c r="AV34" s="188">
        <v>5</v>
      </c>
      <c r="AY34" s="151"/>
      <c r="AZ34" s="152"/>
      <c r="BA34" s="157">
        <v>5</v>
      </c>
      <c r="BB34" s="157">
        <v>3</v>
      </c>
      <c r="BH34"/>
      <c r="BI34"/>
    </row>
    <row r="35" spans="31:61" ht="22.5" customHeight="1">
      <c r="AE35" s="62">
        <v>47</v>
      </c>
      <c r="AF35" s="62" t="str">
        <f t="shared" si="15"/>
        <v>NRC</v>
      </c>
      <c r="AG35" s="62" t="str">
        <f>V20</f>
        <v>宮野 早織</v>
      </c>
      <c r="AH35" s="85">
        <f>X20</f>
        <v>100</v>
      </c>
      <c r="AI35" s="1">
        <v>34</v>
      </c>
      <c r="AN35" s="1">
        <v>34</v>
      </c>
      <c r="AO35" s="186">
        <f t="shared" si="16"/>
        <v>6</v>
      </c>
      <c r="AP35" s="187">
        <v>6</v>
      </c>
      <c r="AQ35" s="187" t="str">
        <f t="shared" si="1"/>
        <v>WRC</v>
      </c>
      <c r="AR35" s="187" t="str">
        <f t="shared" si="2"/>
        <v>中本 雅大</v>
      </c>
      <c r="AS35" s="187" t="str">
        <f t="shared" si="3"/>
        <v>長谷川 進</v>
      </c>
      <c r="AT35" s="187" t="str">
        <f t="shared" si="5"/>
        <v>NRC</v>
      </c>
      <c r="AU35" s="187">
        <f t="shared" si="17"/>
        <v>4</v>
      </c>
      <c r="AV35" s="188">
        <v>6</v>
      </c>
      <c r="AY35" s="151"/>
      <c r="AZ35" s="152"/>
      <c r="BA35" s="155">
        <v>1</v>
      </c>
      <c r="BB35" s="155">
        <v>4</v>
      </c>
      <c r="BH35"/>
      <c r="BI35"/>
    </row>
    <row r="36" spans="31:61" ht="22.5" customHeight="1">
      <c r="AE36" s="62">
        <v>48</v>
      </c>
      <c r="AF36" s="62" t="str">
        <f t="shared" si="15"/>
        <v>NRC</v>
      </c>
      <c r="AG36" s="62">
        <f>Y20</f>
        <v>0</v>
      </c>
      <c r="AH36" s="85">
        <f>AA20</f>
        <v>0</v>
      </c>
      <c r="AI36" s="1">
        <v>35</v>
      </c>
      <c r="AN36" s="1">
        <v>35</v>
      </c>
      <c r="AO36" s="189">
        <f t="shared" si="16"/>
        <v>6</v>
      </c>
      <c r="AP36" s="190">
        <v>7</v>
      </c>
      <c r="AQ36" s="190" t="str">
        <f t="shared" si="1"/>
        <v>WRC</v>
      </c>
      <c r="AR36" s="190" t="str">
        <f t="shared" si="2"/>
        <v>松房ゆかり</v>
      </c>
      <c r="AS36" s="190" t="str">
        <f t="shared" si="3"/>
        <v>宮野 早織</v>
      </c>
      <c r="AT36" s="190" t="str">
        <f t="shared" si="5"/>
        <v>NRC</v>
      </c>
      <c r="AU36" s="190">
        <f t="shared" si="17"/>
        <v>4</v>
      </c>
      <c r="AV36" s="191">
        <v>7</v>
      </c>
      <c r="AY36" s="151"/>
      <c r="AZ36" s="152" t="s">
        <v>67</v>
      </c>
      <c r="BA36" s="157">
        <v>5</v>
      </c>
      <c r="BB36" s="157">
        <v>6</v>
      </c>
      <c r="BH36"/>
      <c r="BI36"/>
    </row>
    <row r="37" spans="31:61" ht="22.5" customHeight="1">
      <c r="AE37" s="62">
        <v>49</v>
      </c>
      <c r="AF37" s="62" t="str">
        <f t="shared" si="15"/>
        <v>NRC</v>
      </c>
      <c r="AH37" s="85"/>
      <c r="AI37" s="1">
        <v>36</v>
      </c>
      <c r="AN37" s="1">
        <v>36</v>
      </c>
      <c r="AO37" s="183">
        <f>IF(AO1=5,4,1)</f>
        <v>1</v>
      </c>
      <c r="AP37" s="184">
        <v>1</v>
      </c>
      <c r="AQ37" s="184" t="str">
        <f t="shared" si="1"/>
        <v>KRC</v>
      </c>
      <c r="AR37" s="184" t="str">
        <f t="shared" si="2"/>
        <v>折戸 和幸</v>
      </c>
      <c r="AS37" s="184" t="str">
        <f t="shared" si="3"/>
        <v>西峰 久祐</v>
      </c>
      <c r="AT37" s="184" t="str">
        <f t="shared" si="5"/>
        <v>SBC</v>
      </c>
      <c r="AU37" s="184">
        <f>IF(AO1=5,2,5)</f>
        <v>5</v>
      </c>
      <c r="AV37" s="185">
        <v>1</v>
      </c>
      <c r="AY37" s="151"/>
      <c r="AZ37" s="152"/>
      <c r="BA37" s="155">
        <v>4</v>
      </c>
      <c r="BB37" s="155">
        <v>2</v>
      </c>
      <c r="BH37"/>
      <c r="BI37"/>
    </row>
    <row r="38" spans="31:54" ht="22.5" customHeight="1">
      <c r="AE38" s="62">
        <v>51</v>
      </c>
      <c r="AF38" s="62" t="str">
        <f aca="true" t="shared" si="18" ref="AF38:AF46">B$21</f>
        <v>SBC</v>
      </c>
      <c r="AG38" s="62" t="str">
        <f>D21</f>
        <v>西峰 久祐</v>
      </c>
      <c r="AH38" s="85">
        <f>F21</f>
        <v>120</v>
      </c>
      <c r="AI38" s="1">
        <v>37</v>
      </c>
      <c r="AN38" s="1">
        <v>37</v>
      </c>
      <c r="AO38" s="186">
        <f t="shared" si="16"/>
        <v>1</v>
      </c>
      <c r="AP38" s="187">
        <v>2</v>
      </c>
      <c r="AQ38" s="187" t="str">
        <f t="shared" si="1"/>
        <v>KRC</v>
      </c>
      <c r="AR38" s="187" t="str">
        <f t="shared" si="2"/>
        <v>今村 哲也</v>
      </c>
      <c r="AS38" s="187" t="str">
        <f t="shared" si="3"/>
        <v>長田 智紀</v>
      </c>
      <c r="AT38" s="187" t="str">
        <f t="shared" si="5"/>
        <v>SBC</v>
      </c>
      <c r="AU38" s="187">
        <f aca="true" t="shared" si="19" ref="AU38:AU43">AU37</f>
        <v>5</v>
      </c>
      <c r="AV38" s="188">
        <v>2</v>
      </c>
      <c r="AY38" s="151"/>
      <c r="AZ38" s="152"/>
      <c r="BA38" s="155">
        <v>1</v>
      </c>
      <c r="BB38" s="155">
        <v>3</v>
      </c>
    </row>
    <row r="39" spans="31:54" ht="22.5" customHeight="1">
      <c r="AE39" s="62">
        <v>52</v>
      </c>
      <c r="AF39" s="62" t="str">
        <f t="shared" si="18"/>
        <v>SBC</v>
      </c>
      <c r="AG39" s="62" t="str">
        <f>G21</f>
        <v>長田 智紀</v>
      </c>
      <c r="AH39" s="85">
        <f>I21</f>
        <v>120</v>
      </c>
      <c r="AI39" s="1">
        <v>38</v>
      </c>
      <c r="AN39" s="1">
        <v>38</v>
      </c>
      <c r="AO39" s="186">
        <f t="shared" si="16"/>
        <v>1</v>
      </c>
      <c r="AP39" s="187">
        <v>3</v>
      </c>
      <c r="AQ39" s="187" t="str">
        <f t="shared" si="1"/>
        <v>KRC</v>
      </c>
      <c r="AR39" s="187" t="str">
        <f t="shared" si="2"/>
        <v>小山 久博</v>
      </c>
      <c r="AS39" s="187" t="str">
        <f t="shared" si="3"/>
        <v>大橋 義治</v>
      </c>
      <c r="AT39" s="187" t="str">
        <f t="shared" si="5"/>
        <v>SBC</v>
      </c>
      <c r="AU39" s="187">
        <f t="shared" si="19"/>
        <v>5</v>
      </c>
      <c r="AV39" s="188">
        <v>3</v>
      </c>
      <c r="AY39" s="151"/>
      <c r="AZ39" s="152" t="s">
        <v>68</v>
      </c>
      <c r="BA39" s="155">
        <v>4</v>
      </c>
      <c r="BB39" s="155">
        <v>5</v>
      </c>
    </row>
    <row r="40" spans="31:54" ht="22.5" customHeight="1">
      <c r="AE40" s="62">
        <v>53</v>
      </c>
      <c r="AF40" s="62" t="str">
        <f t="shared" si="18"/>
        <v>SBC</v>
      </c>
      <c r="AG40" s="62" t="str">
        <f>J21</f>
        <v>大橋 義治</v>
      </c>
      <c r="AH40" s="85">
        <f>L21</f>
        <v>120</v>
      </c>
      <c r="AI40" s="1">
        <v>39</v>
      </c>
      <c r="AN40" s="1">
        <v>39</v>
      </c>
      <c r="AO40" s="186">
        <f t="shared" si="16"/>
        <v>1</v>
      </c>
      <c r="AP40" s="187">
        <v>4</v>
      </c>
      <c r="AQ40" s="187" t="str">
        <f t="shared" si="1"/>
        <v>KRC</v>
      </c>
      <c r="AR40" s="187" t="str">
        <f t="shared" si="2"/>
        <v>伊庭 保久</v>
      </c>
      <c r="AS40" s="187" t="str">
        <f t="shared" si="3"/>
        <v>山中 康寛</v>
      </c>
      <c r="AT40" s="187" t="str">
        <f t="shared" si="5"/>
        <v>SBC</v>
      </c>
      <c r="AU40" s="187">
        <f t="shared" si="19"/>
        <v>5</v>
      </c>
      <c r="AV40" s="188">
        <v>4</v>
      </c>
      <c r="AY40" s="151"/>
      <c r="AZ40" s="152"/>
      <c r="BA40" s="157">
        <v>3</v>
      </c>
      <c r="BB40" s="157">
        <v>6</v>
      </c>
    </row>
    <row r="41" spans="31:54" ht="22.5" customHeight="1" thickBot="1">
      <c r="AE41" s="62">
        <v>54</v>
      </c>
      <c r="AF41" s="62" t="str">
        <f t="shared" si="18"/>
        <v>SBC</v>
      </c>
      <c r="AG41" s="62" t="str">
        <f>M21</f>
        <v>山中 康寛</v>
      </c>
      <c r="AH41" s="85">
        <f>O21</f>
        <v>120</v>
      </c>
      <c r="AI41" s="1">
        <v>40</v>
      </c>
      <c r="AN41" s="1">
        <v>40</v>
      </c>
      <c r="AO41" s="186">
        <f t="shared" si="16"/>
        <v>1</v>
      </c>
      <c r="AP41" s="187">
        <v>5</v>
      </c>
      <c r="AQ41" s="187" t="str">
        <f t="shared" si="1"/>
        <v>KRC</v>
      </c>
      <c r="AR41" s="187" t="str">
        <f t="shared" si="2"/>
        <v>菊池 靖正</v>
      </c>
      <c r="AS41" s="187" t="str">
        <f t="shared" si="3"/>
        <v>高島 太一</v>
      </c>
      <c r="AT41" s="187" t="str">
        <f t="shared" si="5"/>
        <v>SBC</v>
      </c>
      <c r="AU41" s="187">
        <f t="shared" si="19"/>
        <v>5</v>
      </c>
      <c r="AV41" s="188">
        <v>5</v>
      </c>
      <c r="AY41" s="153"/>
      <c r="AZ41" s="154"/>
      <c r="BA41" s="156">
        <v>1</v>
      </c>
      <c r="BB41" s="156">
        <v>2</v>
      </c>
    </row>
    <row r="42" spans="31:48" ht="22.5" customHeight="1">
      <c r="AE42" s="62">
        <v>55</v>
      </c>
      <c r="AF42" s="62" t="str">
        <f t="shared" si="18"/>
        <v>SBC</v>
      </c>
      <c r="AG42" s="62" t="str">
        <f>P21</f>
        <v>高島 太一</v>
      </c>
      <c r="AH42" s="85">
        <f>R21</f>
        <v>120</v>
      </c>
      <c r="AI42" s="1">
        <v>41</v>
      </c>
      <c r="AN42" s="1">
        <v>41</v>
      </c>
      <c r="AO42" s="186">
        <f t="shared" si="16"/>
        <v>1</v>
      </c>
      <c r="AP42" s="187">
        <v>6</v>
      </c>
      <c r="AQ42" s="187" t="str">
        <f t="shared" si="1"/>
        <v>KRC</v>
      </c>
      <c r="AR42" s="187" t="str">
        <f t="shared" si="2"/>
        <v>田附 裕次</v>
      </c>
      <c r="AS42" s="187" t="str">
        <f t="shared" si="3"/>
        <v>須藤 浩章</v>
      </c>
      <c r="AT42" s="187" t="str">
        <f t="shared" si="5"/>
        <v>SBC</v>
      </c>
      <c r="AU42" s="187">
        <f t="shared" si="19"/>
        <v>5</v>
      </c>
      <c r="AV42" s="188">
        <v>6</v>
      </c>
    </row>
    <row r="43" spans="31:48" ht="22.5" customHeight="1">
      <c r="AE43" s="62">
        <v>56</v>
      </c>
      <c r="AF43" s="62" t="str">
        <f t="shared" si="18"/>
        <v>SBC</v>
      </c>
      <c r="AG43" s="62" t="str">
        <f>S21</f>
        <v>須藤 浩章</v>
      </c>
      <c r="AH43" s="85">
        <f>U21</f>
        <v>120</v>
      </c>
      <c r="AI43" s="1">
        <v>42</v>
      </c>
      <c r="AN43" s="1">
        <v>42</v>
      </c>
      <c r="AO43" s="189">
        <f t="shared" si="16"/>
        <v>1</v>
      </c>
      <c r="AP43" s="190">
        <v>7</v>
      </c>
      <c r="AQ43" s="190" t="str">
        <f t="shared" si="1"/>
        <v>KRC</v>
      </c>
      <c r="AR43" s="190" t="str">
        <f t="shared" si="2"/>
        <v>森田由佳里</v>
      </c>
      <c r="AS43" s="190" t="str">
        <f t="shared" si="3"/>
        <v>酒井 美希</v>
      </c>
      <c r="AT43" s="190" t="str">
        <f t="shared" si="5"/>
        <v>SBC</v>
      </c>
      <c r="AU43" s="190">
        <f t="shared" si="19"/>
        <v>5</v>
      </c>
      <c r="AV43" s="191">
        <v>7</v>
      </c>
    </row>
    <row r="44" spans="31:48" ht="22.5" customHeight="1">
      <c r="AE44" s="62">
        <v>57</v>
      </c>
      <c r="AF44" s="62" t="str">
        <f t="shared" si="18"/>
        <v>SBC</v>
      </c>
      <c r="AG44" s="62" t="str">
        <f>V21</f>
        <v>酒井 美希</v>
      </c>
      <c r="AH44" s="85">
        <f>X21</f>
        <v>100</v>
      </c>
      <c r="AI44" s="1">
        <v>43</v>
      </c>
      <c r="AN44" s="1">
        <v>43</v>
      </c>
      <c r="AO44" s="183">
        <f>IF(AO1=5,3,6)</f>
        <v>6</v>
      </c>
      <c r="AP44" s="184">
        <v>1</v>
      </c>
      <c r="AQ44" s="184" t="str">
        <f t="shared" si="1"/>
        <v>WRC</v>
      </c>
      <c r="AR44" s="184" t="str">
        <f t="shared" si="2"/>
        <v>末岡　修</v>
      </c>
      <c r="AS44" s="184" t="str">
        <f t="shared" si="3"/>
        <v>堂園 雅也</v>
      </c>
      <c r="AT44" s="184" t="str">
        <f t="shared" si="5"/>
        <v>HRC</v>
      </c>
      <c r="AU44" s="184">
        <f>IF(AO1=5,5,2)</f>
        <v>2</v>
      </c>
      <c r="AV44" s="185">
        <v>1</v>
      </c>
    </row>
    <row r="45" spans="31:48" ht="22.5" customHeight="1">
      <c r="AE45" s="62">
        <v>58</v>
      </c>
      <c r="AF45" s="62" t="str">
        <f t="shared" si="18"/>
        <v>SBC</v>
      </c>
      <c r="AG45" s="62">
        <f>Y21</f>
        <v>0</v>
      </c>
      <c r="AH45" s="85">
        <f>AA21</f>
        <v>0</v>
      </c>
      <c r="AI45" s="1">
        <v>44</v>
      </c>
      <c r="AN45" s="1">
        <v>44</v>
      </c>
      <c r="AO45" s="186">
        <f t="shared" si="16"/>
        <v>6</v>
      </c>
      <c r="AP45" s="187">
        <v>2</v>
      </c>
      <c r="AQ45" s="187" t="str">
        <f t="shared" si="1"/>
        <v>WRC</v>
      </c>
      <c r="AR45" s="187" t="str">
        <f t="shared" si="2"/>
        <v>杉本 博章</v>
      </c>
      <c r="AS45" s="187" t="str">
        <f t="shared" si="3"/>
        <v>長井　充</v>
      </c>
      <c r="AT45" s="187" t="str">
        <f t="shared" si="5"/>
        <v>HRC</v>
      </c>
      <c r="AU45" s="187">
        <f aca="true" t="shared" si="20" ref="AU45:AU50">AU44</f>
        <v>2</v>
      </c>
      <c r="AV45" s="188">
        <v>2</v>
      </c>
    </row>
    <row r="46" spans="31:48" ht="22.5" customHeight="1">
      <c r="AE46" s="62">
        <v>59</v>
      </c>
      <c r="AF46" s="62" t="str">
        <f t="shared" si="18"/>
        <v>SBC</v>
      </c>
      <c r="AH46" s="85"/>
      <c r="AI46" s="1">
        <v>45</v>
      </c>
      <c r="AN46" s="1">
        <v>45</v>
      </c>
      <c r="AO46" s="186">
        <f t="shared" si="16"/>
        <v>6</v>
      </c>
      <c r="AP46" s="187">
        <v>3</v>
      </c>
      <c r="AQ46" s="187" t="str">
        <f t="shared" si="1"/>
        <v>WRC</v>
      </c>
      <c r="AR46" s="187" t="str">
        <f t="shared" si="2"/>
        <v>丹次 力良</v>
      </c>
      <c r="AS46" s="187" t="str">
        <f t="shared" si="3"/>
        <v>藤中健太郎</v>
      </c>
      <c r="AT46" s="187" t="str">
        <f t="shared" si="5"/>
        <v>HRC</v>
      </c>
      <c r="AU46" s="187">
        <f t="shared" si="20"/>
        <v>2</v>
      </c>
      <c r="AV46" s="188">
        <v>3</v>
      </c>
    </row>
    <row r="47" spans="31:48" ht="22.5" customHeight="1">
      <c r="AE47" s="62">
        <v>61</v>
      </c>
      <c r="AF47" s="62" t="str">
        <f aca="true" t="shared" si="21" ref="AF47:AF55">B$22</f>
        <v>WRC</v>
      </c>
      <c r="AG47" s="62" t="str">
        <f>D22</f>
        <v>末岡　修</v>
      </c>
      <c r="AH47" s="85">
        <f>F22</f>
        <v>120</v>
      </c>
      <c r="AI47" s="1">
        <v>46</v>
      </c>
      <c r="AN47" s="1">
        <v>46</v>
      </c>
      <c r="AO47" s="186">
        <f t="shared" si="16"/>
        <v>6</v>
      </c>
      <c r="AP47" s="187">
        <v>4</v>
      </c>
      <c r="AQ47" s="187" t="str">
        <f t="shared" si="1"/>
        <v>WRC</v>
      </c>
      <c r="AR47" s="187" t="str">
        <f t="shared" si="2"/>
        <v>芝先 泰生</v>
      </c>
      <c r="AS47" s="187" t="str">
        <f t="shared" si="3"/>
        <v>後藤 勇治</v>
      </c>
      <c r="AT47" s="187" t="str">
        <f t="shared" si="5"/>
        <v>HRC</v>
      </c>
      <c r="AU47" s="187">
        <f t="shared" si="20"/>
        <v>2</v>
      </c>
      <c r="AV47" s="188">
        <v>4</v>
      </c>
    </row>
    <row r="48" spans="31:48" ht="22.5" customHeight="1">
      <c r="AE48" s="62">
        <v>62</v>
      </c>
      <c r="AF48" s="62" t="str">
        <f t="shared" si="21"/>
        <v>WRC</v>
      </c>
      <c r="AG48" s="62" t="str">
        <f>G22</f>
        <v>杉本 博章</v>
      </c>
      <c r="AH48" s="85">
        <f>I22</f>
        <v>120</v>
      </c>
      <c r="AI48" s="1">
        <v>47</v>
      </c>
      <c r="AN48" s="1">
        <v>47</v>
      </c>
      <c r="AO48" s="186">
        <f t="shared" si="16"/>
        <v>6</v>
      </c>
      <c r="AP48" s="187">
        <v>5</v>
      </c>
      <c r="AQ48" s="187" t="str">
        <f t="shared" si="1"/>
        <v>WRC</v>
      </c>
      <c r="AR48" s="187" t="str">
        <f t="shared" si="2"/>
        <v>岸上 賢一</v>
      </c>
      <c r="AS48" s="187" t="str">
        <f t="shared" si="3"/>
        <v>丹羽 俊也</v>
      </c>
      <c r="AT48" s="187" t="str">
        <f t="shared" si="5"/>
        <v>HRC</v>
      </c>
      <c r="AU48" s="187">
        <f t="shared" si="20"/>
        <v>2</v>
      </c>
      <c r="AV48" s="188">
        <v>5</v>
      </c>
    </row>
    <row r="49" spans="31:48" ht="22.5" customHeight="1">
      <c r="AE49" s="62">
        <v>63</v>
      </c>
      <c r="AF49" s="62" t="str">
        <f t="shared" si="21"/>
        <v>WRC</v>
      </c>
      <c r="AG49" s="62" t="str">
        <f>J22</f>
        <v>丹次 力良</v>
      </c>
      <c r="AH49" s="85">
        <f>L22</f>
        <v>120</v>
      </c>
      <c r="AI49" s="1">
        <v>48</v>
      </c>
      <c r="AN49" s="1">
        <v>48</v>
      </c>
      <c r="AO49" s="186">
        <f t="shared" si="16"/>
        <v>6</v>
      </c>
      <c r="AP49" s="187">
        <v>6</v>
      </c>
      <c r="AQ49" s="187" t="str">
        <f t="shared" si="1"/>
        <v>WRC</v>
      </c>
      <c r="AR49" s="187" t="str">
        <f t="shared" si="2"/>
        <v>中本 雅大</v>
      </c>
      <c r="AS49" s="187" t="str">
        <f t="shared" si="3"/>
        <v>平井 洸志</v>
      </c>
      <c r="AT49" s="187" t="str">
        <f t="shared" si="5"/>
        <v>HRC</v>
      </c>
      <c r="AU49" s="187">
        <f t="shared" si="20"/>
        <v>2</v>
      </c>
      <c r="AV49" s="188">
        <v>6</v>
      </c>
    </row>
    <row r="50" spans="31:48" ht="22.5" customHeight="1">
      <c r="AE50" s="62">
        <v>64</v>
      </c>
      <c r="AF50" s="62" t="str">
        <f t="shared" si="21"/>
        <v>WRC</v>
      </c>
      <c r="AG50" s="62" t="str">
        <f>M22</f>
        <v>芝先 泰生</v>
      </c>
      <c r="AH50" s="85">
        <f>O22</f>
        <v>120</v>
      </c>
      <c r="AI50" s="1">
        <v>49</v>
      </c>
      <c r="AN50" s="1">
        <v>49</v>
      </c>
      <c r="AO50" s="189">
        <f t="shared" si="16"/>
        <v>6</v>
      </c>
      <c r="AP50" s="190">
        <v>7</v>
      </c>
      <c r="AQ50" s="190" t="str">
        <f t="shared" si="1"/>
        <v>WRC</v>
      </c>
      <c r="AR50" s="190" t="str">
        <f t="shared" si="2"/>
        <v>松房ゆかり</v>
      </c>
      <c r="AS50" s="190" t="str">
        <f t="shared" si="3"/>
        <v>栃下 恭子</v>
      </c>
      <c r="AT50" s="190" t="str">
        <f t="shared" si="5"/>
        <v>HRC</v>
      </c>
      <c r="AU50" s="190">
        <f t="shared" si="20"/>
        <v>2</v>
      </c>
      <c r="AV50" s="191">
        <v>7</v>
      </c>
    </row>
    <row r="51" spans="31:48" ht="22.5" customHeight="1">
      <c r="AE51" s="62">
        <v>65</v>
      </c>
      <c r="AF51" s="62" t="str">
        <f t="shared" si="21"/>
        <v>WRC</v>
      </c>
      <c r="AG51" s="62" t="str">
        <f>P22</f>
        <v>岸上 賢一</v>
      </c>
      <c r="AH51" s="85">
        <f>R22</f>
        <v>120</v>
      </c>
      <c r="AI51" s="1">
        <v>50</v>
      </c>
      <c r="AN51" s="1">
        <v>50</v>
      </c>
      <c r="AO51" s="183">
        <f>IF(AO1=5,1,5)</f>
        <v>5</v>
      </c>
      <c r="AP51" s="184">
        <v>1</v>
      </c>
      <c r="AQ51" s="184" t="str">
        <f t="shared" si="1"/>
        <v>SBC</v>
      </c>
      <c r="AR51" s="184" t="str">
        <f t="shared" si="2"/>
        <v>西峰 久祐</v>
      </c>
      <c r="AS51" s="184" t="str">
        <f t="shared" si="3"/>
        <v>村上 泰辰</v>
      </c>
      <c r="AT51" s="184" t="str">
        <f t="shared" si="5"/>
        <v>ORC</v>
      </c>
      <c r="AU51" s="184">
        <f>IF(AO1=5,2,3)</f>
        <v>3</v>
      </c>
      <c r="AV51" s="185">
        <v>1</v>
      </c>
    </row>
    <row r="52" spans="31:48" ht="22.5" customHeight="1">
      <c r="AE52" s="62">
        <v>66</v>
      </c>
      <c r="AF52" s="62" t="str">
        <f t="shared" si="21"/>
        <v>WRC</v>
      </c>
      <c r="AG52" s="62" t="str">
        <f>S22</f>
        <v>中本 雅大</v>
      </c>
      <c r="AH52" s="85">
        <f>U22</f>
        <v>120</v>
      </c>
      <c r="AI52" s="1">
        <v>51</v>
      </c>
      <c r="AN52" s="1">
        <v>51</v>
      </c>
      <c r="AO52" s="186">
        <f t="shared" si="16"/>
        <v>5</v>
      </c>
      <c r="AP52" s="187">
        <v>2</v>
      </c>
      <c r="AQ52" s="187" t="str">
        <f t="shared" si="1"/>
        <v>SBC</v>
      </c>
      <c r="AR52" s="187" t="str">
        <f t="shared" si="2"/>
        <v>長田 智紀</v>
      </c>
      <c r="AS52" s="187" t="str">
        <f t="shared" si="3"/>
        <v>乾　伸綱</v>
      </c>
      <c r="AT52" s="187" t="str">
        <f t="shared" si="5"/>
        <v>ORC</v>
      </c>
      <c r="AU52" s="187">
        <f aca="true" t="shared" si="22" ref="AU52:AU57">AU51</f>
        <v>3</v>
      </c>
      <c r="AV52" s="188">
        <v>2</v>
      </c>
    </row>
    <row r="53" spans="31:48" ht="22.5" customHeight="1">
      <c r="AE53" s="62">
        <v>67</v>
      </c>
      <c r="AF53" s="62" t="str">
        <f t="shared" si="21"/>
        <v>WRC</v>
      </c>
      <c r="AG53" s="62" t="str">
        <f>V22</f>
        <v>松房ゆかり</v>
      </c>
      <c r="AH53" s="85">
        <f>X22</f>
        <v>100</v>
      </c>
      <c r="AI53" s="1">
        <v>52</v>
      </c>
      <c r="AN53" s="1">
        <v>52</v>
      </c>
      <c r="AO53" s="186">
        <f t="shared" si="16"/>
        <v>5</v>
      </c>
      <c r="AP53" s="187">
        <v>3</v>
      </c>
      <c r="AQ53" s="187" t="str">
        <f t="shared" si="1"/>
        <v>SBC</v>
      </c>
      <c r="AR53" s="187" t="str">
        <f t="shared" si="2"/>
        <v>大橋 義治</v>
      </c>
      <c r="AS53" s="187" t="str">
        <f t="shared" si="3"/>
        <v>吉岡 保俊</v>
      </c>
      <c r="AT53" s="187" t="str">
        <f t="shared" si="5"/>
        <v>ORC</v>
      </c>
      <c r="AU53" s="187">
        <f t="shared" si="22"/>
        <v>3</v>
      </c>
      <c r="AV53" s="188">
        <v>3</v>
      </c>
    </row>
    <row r="54" spans="31:48" ht="22.5" customHeight="1">
      <c r="AE54" s="62">
        <v>68</v>
      </c>
      <c r="AF54" s="62" t="str">
        <f t="shared" si="21"/>
        <v>WRC</v>
      </c>
      <c r="AG54" s="62">
        <f>Y22</f>
        <v>0</v>
      </c>
      <c r="AH54" s="85">
        <f>AA22</f>
        <v>0</v>
      </c>
      <c r="AI54" s="1">
        <v>53</v>
      </c>
      <c r="AN54" s="1">
        <v>53</v>
      </c>
      <c r="AO54" s="186">
        <f t="shared" si="16"/>
        <v>5</v>
      </c>
      <c r="AP54" s="187">
        <v>4</v>
      </c>
      <c r="AQ54" s="187" t="str">
        <f t="shared" si="1"/>
        <v>SBC</v>
      </c>
      <c r="AR54" s="187" t="str">
        <f t="shared" si="2"/>
        <v>山中 康寛</v>
      </c>
      <c r="AS54" s="187" t="str">
        <f t="shared" si="3"/>
        <v>山田 玄英</v>
      </c>
      <c r="AT54" s="187" t="str">
        <f t="shared" si="5"/>
        <v>ORC</v>
      </c>
      <c r="AU54" s="187">
        <f t="shared" si="22"/>
        <v>3</v>
      </c>
      <c r="AV54" s="188">
        <v>4</v>
      </c>
    </row>
    <row r="55" spans="31:48" ht="22.5" customHeight="1">
      <c r="AE55" s="62">
        <v>69</v>
      </c>
      <c r="AF55" s="62" t="str">
        <f t="shared" si="21"/>
        <v>WRC</v>
      </c>
      <c r="AI55" s="1">
        <v>54</v>
      </c>
      <c r="AN55" s="1">
        <v>54</v>
      </c>
      <c r="AO55" s="186">
        <f t="shared" si="16"/>
        <v>5</v>
      </c>
      <c r="AP55" s="187">
        <v>5</v>
      </c>
      <c r="AQ55" s="187" t="str">
        <f t="shared" si="1"/>
        <v>SBC</v>
      </c>
      <c r="AR55" s="187" t="str">
        <f t="shared" si="2"/>
        <v>高島 太一</v>
      </c>
      <c r="AS55" s="187" t="str">
        <f t="shared" si="3"/>
        <v>由本　拓</v>
      </c>
      <c r="AT55" s="187" t="str">
        <f t="shared" si="5"/>
        <v>ORC</v>
      </c>
      <c r="AU55" s="187">
        <f t="shared" si="22"/>
        <v>3</v>
      </c>
      <c r="AV55" s="188">
        <v>5</v>
      </c>
    </row>
    <row r="56" spans="35:48" ht="22.5" customHeight="1">
      <c r="AI56" s="1">
        <v>55</v>
      </c>
      <c r="AN56" s="1">
        <v>55</v>
      </c>
      <c r="AO56" s="186">
        <f t="shared" si="16"/>
        <v>5</v>
      </c>
      <c r="AP56" s="187">
        <v>6</v>
      </c>
      <c r="AQ56" s="187" t="str">
        <f t="shared" si="1"/>
        <v>SBC</v>
      </c>
      <c r="AR56" s="187" t="str">
        <f t="shared" si="2"/>
        <v>須藤 浩章</v>
      </c>
      <c r="AS56" s="187" t="str">
        <f t="shared" si="3"/>
        <v>田中 隆介</v>
      </c>
      <c r="AT56" s="187" t="str">
        <f t="shared" si="5"/>
        <v>ORC</v>
      </c>
      <c r="AU56" s="187">
        <f t="shared" si="22"/>
        <v>3</v>
      </c>
      <c r="AV56" s="188">
        <v>6</v>
      </c>
    </row>
    <row r="57" spans="35:48" ht="22.5" customHeight="1">
      <c r="AI57" s="1">
        <v>56</v>
      </c>
      <c r="AN57" s="1">
        <v>56</v>
      </c>
      <c r="AO57" s="189">
        <f t="shared" si="16"/>
        <v>5</v>
      </c>
      <c r="AP57" s="190">
        <v>7</v>
      </c>
      <c r="AQ57" s="190" t="str">
        <f t="shared" si="1"/>
        <v>SBC</v>
      </c>
      <c r="AR57" s="190" t="str">
        <f t="shared" si="2"/>
        <v>酒井 美希</v>
      </c>
      <c r="AS57" s="190" t="str">
        <f t="shared" si="3"/>
        <v>西田 恵子</v>
      </c>
      <c r="AT57" s="190" t="str">
        <f t="shared" si="5"/>
        <v>ORC</v>
      </c>
      <c r="AU57" s="190">
        <f t="shared" si="22"/>
        <v>3</v>
      </c>
      <c r="AV57" s="191">
        <v>7</v>
      </c>
    </row>
    <row r="58" spans="35:48" ht="22.5" customHeight="1">
      <c r="AI58" s="1">
        <v>57</v>
      </c>
      <c r="AN58" s="1">
        <v>57</v>
      </c>
      <c r="AO58" s="183">
        <f>IF(AO1=5,4,1)</f>
        <v>1</v>
      </c>
      <c r="AP58" s="184">
        <v>1</v>
      </c>
      <c r="AQ58" s="184" t="str">
        <f t="shared" si="1"/>
        <v>KRC</v>
      </c>
      <c r="AR58" s="184" t="str">
        <f t="shared" si="2"/>
        <v>折戸 和幸</v>
      </c>
      <c r="AS58" s="184" t="str">
        <f t="shared" si="3"/>
        <v>白戸 玲人</v>
      </c>
      <c r="AT58" s="184" t="str">
        <f t="shared" si="5"/>
        <v>NRC</v>
      </c>
      <c r="AU58" s="184">
        <f>IF(AO1=5,5,4)</f>
        <v>4</v>
      </c>
      <c r="AV58" s="185">
        <v>1</v>
      </c>
    </row>
    <row r="59" spans="35:48" ht="22.5" customHeight="1">
      <c r="AI59" s="1">
        <v>58</v>
      </c>
      <c r="AN59" s="1">
        <v>58</v>
      </c>
      <c r="AO59" s="186">
        <f t="shared" si="16"/>
        <v>1</v>
      </c>
      <c r="AP59" s="187">
        <v>2</v>
      </c>
      <c r="AQ59" s="187" t="str">
        <f t="shared" si="1"/>
        <v>KRC</v>
      </c>
      <c r="AR59" s="187" t="str">
        <f t="shared" si="2"/>
        <v>今村 哲也</v>
      </c>
      <c r="AS59" s="187" t="str">
        <f t="shared" si="3"/>
        <v>近藤 拓馬</v>
      </c>
      <c r="AT59" s="187" t="str">
        <f t="shared" si="5"/>
        <v>NRC</v>
      </c>
      <c r="AU59" s="187">
        <f aca="true" t="shared" si="23" ref="AU59:AU64">AU58</f>
        <v>4</v>
      </c>
      <c r="AV59" s="188">
        <v>2</v>
      </c>
    </row>
    <row r="60" spans="35:48" ht="22.5" customHeight="1">
      <c r="AI60" s="1">
        <v>59</v>
      </c>
      <c r="AN60" s="1">
        <v>59</v>
      </c>
      <c r="AO60" s="186">
        <f t="shared" si="16"/>
        <v>1</v>
      </c>
      <c r="AP60" s="187">
        <v>3</v>
      </c>
      <c r="AQ60" s="187" t="str">
        <f t="shared" si="1"/>
        <v>KRC</v>
      </c>
      <c r="AR60" s="187" t="str">
        <f t="shared" si="2"/>
        <v>小山 久博</v>
      </c>
      <c r="AS60" s="187" t="str">
        <f t="shared" si="3"/>
        <v>吉向 翔平</v>
      </c>
      <c r="AT60" s="187" t="str">
        <f t="shared" si="5"/>
        <v>NRC</v>
      </c>
      <c r="AU60" s="187">
        <f t="shared" si="23"/>
        <v>4</v>
      </c>
      <c r="AV60" s="188">
        <v>3</v>
      </c>
    </row>
    <row r="61" spans="35:48" ht="22.5" customHeight="1">
      <c r="AI61" s="1">
        <v>60</v>
      </c>
      <c r="AN61" s="1">
        <v>60</v>
      </c>
      <c r="AO61" s="186">
        <f t="shared" si="16"/>
        <v>1</v>
      </c>
      <c r="AP61" s="187">
        <v>4</v>
      </c>
      <c r="AQ61" s="187" t="str">
        <f t="shared" si="1"/>
        <v>KRC</v>
      </c>
      <c r="AR61" s="187" t="str">
        <f t="shared" si="2"/>
        <v>伊庭 保久</v>
      </c>
      <c r="AS61" s="187" t="str">
        <f t="shared" si="3"/>
        <v>山田 普之</v>
      </c>
      <c r="AT61" s="187" t="str">
        <f t="shared" si="5"/>
        <v>NRC</v>
      </c>
      <c r="AU61" s="187">
        <f t="shared" si="23"/>
        <v>4</v>
      </c>
      <c r="AV61" s="188">
        <v>4</v>
      </c>
    </row>
    <row r="62" spans="35:48" ht="22.5" customHeight="1">
      <c r="AI62" s="1">
        <v>61</v>
      </c>
      <c r="AN62" s="1">
        <v>61</v>
      </c>
      <c r="AO62" s="186">
        <f t="shared" si="16"/>
        <v>1</v>
      </c>
      <c r="AP62" s="187">
        <v>5</v>
      </c>
      <c r="AQ62" s="187" t="str">
        <f t="shared" si="1"/>
        <v>KRC</v>
      </c>
      <c r="AR62" s="187" t="str">
        <f t="shared" si="2"/>
        <v>菊池 靖正</v>
      </c>
      <c r="AS62" s="187" t="str">
        <f t="shared" si="3"/>
        <v>山田 晃司</v>
      </c>
      <c r="AT62" s="187" t="str">
        <f t="shared" si="5"/>
        <v>NRC</v>
      </c>
      <c r="AU62" s="187">
        <f t="shared" si="23"/>
        <v>4</v>
      </c>
      <c r="AV62" s="188">
        <v>5</v>
      </c>
    </row>
    <row r="63" spans="35:48" ht="22.5" customHeight="1">
      <c r="AI63" s="1">
        <v>62</v>
      </c>
      <c r="AN63" s="1">
        <v>62</v>
      </c>
      <c r="AO63" s="186">
        <f t="shared" si="16"/>
        <v>1</v>
      </c>
      <c r="AP63" s="187">
        <v>6</v>
      </c>
      <c r="AQ63" s="187" t="str">
        <f t="shared" si="1"/>
        <v>KRC</v>
      </c>
      <c r="AR63" s="187" t="str">
        <f t="shared" si="2"/>
        <v>田附 裕次</v>
      </c>
      <c r="AS63" s="187" t="str">
        <f t="shared" si="3"/>
        <v>長谷川 進</v>
      </c>
      <c r="AT63" s="187" t="str">
        <f t="shared" si="5"/>
        <v>NRC</v>
      </c>
      <c r="AU63" s="187">
        <f t="shared" si="23"/>
        <v>4</v>
      </c>
      <c r="AV63" s="188">
        <v>6</v>
      </c>
    </row>
    <row r="64" spans="35:48" ht="22.5" customHeight="1">
      <c r="AI64" s="1">
        <v>63</v>
      </c>
      <c r="AN64" s="1">
        <v>63</v>
      </c>
      <c r="AO64" s="189">
        <f t="shared" si="16"/>
        <v>1</v>
      </c>
      <c r="AP64" s="190">
        <v>7</v>
      </c>
      <c r="AQ64" s="190" t="str">
        <f t="shared" si="1"/>
        <v>KRC</v>
      </c>
      <c r="AR64" s="190" t="str">
        <f t="shared" si="2"/>
        <v>森田由佳里</v>
      </c>
      <c r="AS64" s="190" t="str">
        <f t="shared" si="3"/>
        <v>宮野 早織</v>
      </c>
      <c r="AT64" s="190" t="str">
        <f t="shared" si="5"/>
        <v>NRC</v>
      </c>
      <c r="AU64" s="190">
        <f t="shared" si="23"/>
        <v>4</v>
      </c>
      <c r="AV64" s="191">
        <v>7</v>
      </c>
    </row>
    <row r="65" spans="35:48" ht="22.5" customHeight="1">
      <c r="AI65" s="1">
        <v>64</v>
      </c>
      <c r="AN65" s="1">
        <v>64</v>
      </c>
      <c r="AO65" s="183">
        <f>IF(AO1=5,2,5)</f>
        <v>5</v>
      </c>
      <c r="AP65" s="184">
        <v>1</v>
      </c>
      <c r="AQ65" s="184" t="str">
        <f t="shared" si="1"/>
        <v>SBC</v>
      </c>
      <c r="AR65" s="184" t="str">
        <f t="shared" si="2"/>
        <v>西峰 久祐</v>
      </c>
      <c r="AS65" s="184" t="str">
        <f t="shared" si="3"/>
        <v>末岡　修</v>
      </c>
      <c r="AT65" s="184" t="str">
        <f t="shared" si="5"/>
        <v>WRC</v>
      </c>
      <c r="AU65" s="184">
        <f>IF(AO1=5,1,6)</f>
        <v>6</v>
      </c>
      <c r="AV65" s="185">
        <v>1</v>
      </c>
    </row>
    <row r="66" spans="35:48" ht="22.5" customHeight="1">
      <c r="AI66" s="1">
        <v>65</v>
      </c>
      <c r="AN66" s="1">
        <v>65</v>
      </c>
      <c r="AO66" s="186">
        <f t="shared" si="16"/>
        <v>5</v>
      </c>
      <c r="AP66" s="187">
        <v>2</v>
      </c>
      <c r="AQ66" s="187" t="str">
        <f aca="true" t="shared" si="24" ref="AQ66:AQ129">VLOOKUP(AO66,$AZ$3:$BA$8,2,FALSE)</f>
        <v>SBC</v>
      </c>
      <c r="AR66" s="187" t="str">
        <f aca="true" t="shared" si="25" ref="AR66:AR129">VLOOKUP(VALUE(AO66&amp;AP66),$AE$2:$AG$55,3,FALSE)</f>
        <v>長田 智紀</v>
      </c>
      <c r="AS66" s="187" t="str">
        <f aca="true" t="shared" si="26" ref="AS66:AS129">VLOOKUP(VALUE(AU66&amp;AV66),$AE$2:$AG$55,3,FALSE)</f>
        <v>杉本 博章</v>
      </c>
      <c r="AT66" s="187" t="str">
        <f t="shared" si="5"/>
        <v>WRC</v>
      </c>
      <c r="AU66" s="187">
        <f aca="true" t="shared" si="27" ref="AU66:AU71">AU65</f>
        <v>6</v>
      </c>
      <c r="AV66" s="188">
        <v>2</v>
      </c>
    </row>
    <row r="67" spans="35:48" ht="22.5" customHeight="1">
      <c r="AI67" s="1">
        <v>66</v>
      </c>
      <c r="AN67" s="1">
        <v>66</v>
      </c>
      <c r="AO67" s="186">
        <f t="shared" si="16"/>
        <v>5</v>
      </c>
      <c r="AP67" s="187">
        <v>3</v>
      </c>
      <c r="AQ67" s="187" t="str">
        <f t="shared" si="24"/>
        <v>SBC</v>
      </c>
      <c r="AR67" s="187" t="str">
        <f t="shared" si="25"/>
        <v>大橋 義治</v>
      </c>
      <c r="AS67" s="187" t="str">
        <f t="shared" si="26"/>
        <v>丹次 力良</v>
      </c>
      <c r="AT67" s="187" t="str">
        <f aca="true" t="shared" si="28" ref="AT67:AT130">VLOOKUP(AU67,$AZ$3:$BA$8,2,FALSE)</f>
        <v>WRC</v>
      </c>
      <c r="AU67" s="187">
        <f t="shared" si="27"/>
        <v>6</v>
      </c>
      <c r="AV67" s="188">
        <v>3</v>
      </c>
    </row>
    <row r="68" spans="35:48" ht="22.5" customHeight="1">
      <c r="AI68" s="1">
        <v>67</v>
      </c>
      <c r="AN68" s="1">
        <v>67</v>
      </c>
      <c r="AO68" s="186">
        <f t="shared" si="16"/>
        <v>5</v>
      </c>
      <c r="AP68" s="187">
        <v>4</v>
      </c>
      <c r="AQ68" s="187" t="str">
        <f t="shared" si="24"/>
        <v>SBC</v>
      </c>
      <c r="AR68" s="187" t="str">
        <f t="shared" si="25"/>
        <v>山中 康寛</v>
      </c>
      <c r="AS68" s="187" t="str">
        <f t="shared" si="26"/>
        <v>芝先 泰生</v>
      </c>
      <c r="AT68" s="187" t="str">
        <f t="shared" si="28"/>
        <v>WRC</v>
      </c>
      <c r="AU68" s="187">
        <f t="shared" si="27"/>
        <v>6</v>
      </c>
      <c r="AV68" s="188">
        <v>4</v>
      </c>
    </row>
    <row r="69" spans="35:48" ht="22.5" customHeight="1">
      <c r="AI69" s="1">
        <v>68</v>
      </c>
      <c r="AN69" s="1">
        <v>68</v>
      </c>
      <c r="AO69" s="186">
        <f t="shared" si="16"/>
        <v>5</v>
      </c>
      <c r="AP69" s="187">
        <v>5</v>
      </c>
      <c r="AQ69" s="187" t="str">
        <f t="shared" si="24"/>
        <v>SBC</v>
      </c>
      <c r="AR69" s="187" t="str">
        <f t="shared" si="25"/>
        <v>高島 太一</v>
      </c>
      <c r="AS69" s="187" t="str">
        <f t="shared" si="26"/>
        <v>岸上 賢一</v>
      </c>
      <c r="AT69" s="187" t="str">
        <f t="shared" si="28"/>
        <v>WRC</v>
      </c>
      <c r="AU69" s="187">
        <f t="shared" si="27"/>
        <v>6</v>
      </c>
      <c r="AV69" s="188">
        <v>5</v>
      </c>
    </row>
    <row r="70" spans="35:48" ht="22.5" customHeight="1">
      <c r="AI70" s="1">
        <v>69</v>
      </c>
      <c r="AN70" s="1">
        <v>69</v>
      </c>
      <c r="AO70" s="186">
        <f t="shared" si="16"/>
        <v>5</v>
      </c>
      <c r="AP70" s="187">
        <v>6</v>
      </c>
      <c r="AQ70" s="187" t="str">
        <f t="shared" si="24"/>
        <v>SBC</v>
      </c>
      <c r="AR70" s="187" t="str">
        <f t="shared" si="25"/>
        <v>須藤 浩章</v>
      </c>
      <c r="AS70" s="187" t="str">
        <f t="shared" si="26"/>
        <v>中本 雅大</v>
      </c>
      <c r="AT70" s="187" t="str">
        <f t="shared" si="28"/>
        <v>WRC</v>
      </c>
      <c r="AU70" s="187">
        <f t="shared" si="27"/>
        <v>6</v>
      </c>
      <c r="AV70" s="188">
        <v>6</v>
      </c>
    </row>
    <row r="71" spans="35:48" ht="22.5" customHeight="1">
      <c r="AI71" s="1">
        <v>70</v>
      </c>
      <c r="AN71" s="1">
        <v>70</v>
      </c>
      <c r="AO71" s="189">
        <f t="shared" si="16"/>
        <v>5</v>
      </c>
      <c r="AP71" s="190">
        <v>7</v>
      </c>
      <c r="AQ71" s="190" t="str">
        <f t="shared" si="24"/>
        <v>SBC</v>
      </c>
      <c r="AR71" s="190" t="str">
        <f t="shared" si="25"/>
        <v>酒井 美希</v>
      </c>
      <c r="AS71" s="190" t="str">
        <f t="shared" si="26"/>
        <v>松房ゆかり</v>
      </c>
      <c r="AT71" s="190" t="str">
        <f t="shared" si="28"/>
        <v>WRC</v>
      </c>
      <c r="AU71" s="190">
        <f t="shared" si="27"/>
        <v>6</v>
      </c>
      <c r="AV71" s="191">
        <v>7</v>
      </c>
    </row>
    <row r="72" spans="35:48" ht="22.5" customHeight="1">
      <c r="AI72" s="1">
        <v>71</v>
      </c>
      <c r="AJ72" s="1">
        <f>IF($AO$1=6,"","第2節")</f>
      </c>
      <c r="AN72" s="1">
        <v>71</v>
      </c>
      <c r="AO72" s="183">
        <f>IF(AO1=5,2,4)</f>
        <v>4</v>
      </c>
      <c r="AP72" s="184">
        <v>1</v>
      </c>
      <c r="AQ72" s="184" t="str">
        <f t="shared" si="24"/>
        <v>NRC</v>
      </c>
      <c r="AR72" s="184" t="str">
        <f t="shared" si="25"/>
        <v>白戸 玲人</v>
      </c>
      <c r="AS72" s="184" t="str">
        <f t="shared" si="26"/>
        <v>堂園 雅也</v>
      </c>
      <c r="AT72" s="184" t="str">
        <f t="shared" si="28"/>
        <v>HRC</v>
      </c>
      <c r="AU72" s="184">
        <f>IF(AO1=5,5,2)</f>
        <v>2</v>
      </c>
      <c r="AV72" s="185">
        <v>1</v>
      </c>
    </row>
    <row r="73" spans="35:48" ht="22.5" customHeight="1">
      <c r="AI73" s="1">
        <v>72</v>
      </c>
      <c r="AN73" s="1">
        <v>72</v>
      </c>
      <c r="AO73" s="186">
        <f t="shared" si="16"/>
        <v>4</v>
      </c>
      <c r="AP73" s="187">
        <v>2</v>
      </c>
      <c r="AQ73" s="187" t="str">
        <f t="shared" si="24"/>
        <v>NRC</v>
      </c>
      <c r="AR73" s="187" t="str">
        <f t="shared" si="25"/>
        <v>近藤 拓馬</v>
      </c>
      <c r="AS73" s="187" t="str">
        <f t="shared" si="26"/>
        <v>長井　充</v>
      </c>
      <c r="AT73" s="187" t="str">
        <f t="shared" si="28"/>
        <v>HRC</v>
      </c>
      <c r="AU73" s="187">
        <f aca="true" t="shared" si="29" ref="AU73:AU78">AU72</f>
        <v>2</v>
      </c>
      <c r="AV73" s="188">
        <v>2</v>
      </c>
    </row>
    <row r="74" spans="35:48" ht="22.5" customHeight="1">
      <c r="AI74" s="1">
        <v>73</v>
      </c>
      <c r="AN74" s="1">
        <v>73</v>
      </c>
      <c r="AO74" s="186">
        <f t="shared" si="16"/>
        <v>4</v>
      </c>
      <c r="AP74" s="187">
        <v>3</v>
      </c>
      <c r="AQ74" s="187" t="str">
        <f t="shared" si="24"/>
        <v>NRC</v>
      </c>
      <c r="AR74" s="187" t="str">
        <f t="shared" si="25"/>
        <v>吉向 翔平</v>
      </c>
      <c r="AS74" s="187" t="str">
        <f t="shared" si="26"/>
        <v>藤中健太郎</v>
      </c>
      <c r="AT74" s="187" t="str">
        <f t="shared" si="28"/>
        <v>HRC</v>
      </c>
      <c r="AU74" s="187">
        <f t="shared" si="29"/>
        <v>2</v>
      </c>
      <c r="AV74" s="188">
        <v>3</v>
      </c>
    </row>
    <row r="75" spans="35:48" ht="22.5" customHeight="1">
      <c r="AI75" s="1">
        <v>74</v>
      </c>
      <c r="AN75" s="1">
        <v>74</v>
      </c>
      <c r="AO75" s="186">
        <f t="shared" si="16"/>
        <v>4</v>
      </c>
      <c r="AP75" s="187">
        <v>4</v>
      </c>
      <c r="AQ75" s="187" t="str">
        <f t="shared" si="24"/>
        <v>NRC</v>
      </c>
      <c r="AR75" s="187" t="str">
        <f t="shared" si="25"/>
        <v>山田 普之</v>
      </c>
      <c r="AS75" s="187" t="str">
        <f t="shared" si="26"/>
        <v>後藤 勇治</v>
      </c>
      <c r="AT75" s="187" t="str">
        <f t="shared" si="28"/>
        <v>HRC</v>
      </c>
      <c r="AU75" s="187">
        <f t="shared" si="29"/>
        <v>2</v>
      </c>
      <c r="AV75" s="188">
        <v>4</v>
      </c>
    </row>
    <row r="76" spans="35:48" ht="22.5" customHeight="1">
      <c r="AI76" s="1">
        <v>75</v>
      </c>
      <c r="AN76" s="1">
        <v>75</v>
      </c>
      <c r="AO76" s="186">
        <f t="shared" si="16"/>
        <v>4</v>
      </c>
      <c r="AP76" s="187">
        <v>5</v>
      </c>
      <c r="AQ76" s="187" t="str">
        <f t="shared" si="24"/>
        <v>NRC</v>
      </c>
      <c r="AR76" s="187" t="str">
        <f t="shared" si="25"/>
        <v>山田 晃司</v>
      </c>
      <c r="AS76" s="187" t="str">
        <f t="shared" si="26"/>
        <v>丹羽 俊也</v>
      </c>
      <c r="AT76" s="187" t="str">
        <f t="shared" si="28"/>
        <v>HRC</v>
      </c>
      <c r="AU76" s="187">
        <f t="shared" si="29"/>
        <v>2</v>
      </c>
      <c r="AV76" s="188">
        <v>5</v>
      </c>
    </row>
    <row r="77" spans="35:48" ht="22.5" customHeight="1">
      <c r="AI77" s="1">
        <v>76</v>
      </c>
      <c r="AN77" s="1">
        <v>76</v>
      </c>
      <c r="AO77" s="186">
        <f t="shared" si="16"/>
        <v>4</v>
      </c>
      <c r="AP77" s="187">
        <v>6</v>
      </c>
      <c r="AQ77" s="187" t="str">
        <f t="shared" si="24"/>
        <v>NRC</v>
      </c>
      <c r="AR77" s="187" t="str">
        <f t="shared" si="25"/>
        <v>長谷川 進</v>
      </c>
      <c r="AS77" s="187" t="str">
        <f t="shared" si="26"/>
        <v>平井 洸志</v>
      </c>
      <c r="AT77" s="187" t="str">
        <f t="shared" si="28"/>
        <v>HRC</v>
      </c>
      <c r="AU77" s="187">
        <f t="shared" si="29"/>
        <v>2</v>
      </c>
      <c r="AV77" s="188">
        <v>6</v>
      </c>
    </row>
    <row r="78" spans="35:48" ht="22.5" customHeight="1">
      <c r="AI78" s="1">
        <v>77</v>
      </c>
      <c r="AN78" s="1">
        <v>77</v>
      </c>
      <c r="AO78" s="189">
        <f t="shared" si="16"/>
        <v>4</v>
      </c>
      <c r="AP78" s="190">
        <v>7</v>
      </c>
      <c r="AQ78" s="190" t="str">
        <f t="shared" si="24"/>
        <v>NRC</v>
      </c>
      <c r="AR78" s="190" t="str">
        <f t="shared" si="25"/>
        <v>宮野 早織</v>
      </c>
      <c r="AS78" s="190" t="str">
        <f t="shared" si="26"/>
        <v>栃下 恭子</v>
      </c>
      <c r="AT78" s="190" t="str">
        <f t="shared" si="28"/>
        <v>HRC</v>
      </c>
      <c r="AU78" s="190">
        <f t="shared" si="29"/>
        <v>2</v>
      </c>
      <c r="AV78" s="191">
        <v>7</v>
      </c>
    </row>
    <row r="79" spans="35:48" ht="22.5" customHeight="1">
      <c r="AI79" s="1">
        <v>78</v>
      </c>
      <c r="AN79" s="1">
        <v>78</v>
      </c>
      <c r="AO79" s="183">
        <f>IF(AO1=5,3,1)</f>
        <v>1</v>
      </c>
      <c r="AP79" s="184">
        <v>1</v>
      </c>
      <c r="AQ79" s="184" t="str">
        <f t="shared" si="24"/>
        <v>KRC</v>
      </c>
      <c r="AR79" s="184" t="str">
        <f t="shared" si="25"/>
        <v>折戸 和幸</v>
      </c>
      <c r="AS79" s="184" t="str">
        <f t="shared" si="26"/>
        <v>村上 泰辰</v>
      </c>
      <c r="AT79" s="184" t="str">
        <f t="shared" si="28"/>
        <v>ORC</v>
      </c>
      <c r="AU79" s="184">
        <f>IF(AO1=5,4,3)</f>
        <v>3</v>
      </c>
      <c r="AV79" s="185">
        <v>1</v>
      </c>
    </row>
    <row r="80" spans="35:48" ht="22.5" customHeight="1">
      <c r="AI80" s="1">
        <v>79</v>
      </c>
      <c r="AN80" s="1">
        <v>79</v>
      </c>
      <c r="AO80" s="186">
        <f t="shared" si="16"/>
        <v>1</v>
      </c>
      <c r="AP80" s="187">
        <v>2</v>
      </c>
      <c r="AQ80" s="187" t="str">
        <f t="shared" si="24"/>
        <v>KRC</v>
      </c>
      <c r="AR80" s="187" t="str">
        <f t="shared" si="25"/>
        <v>今村 哲也</v>
      </c>
      <c r="AS80" s="187" t="str">
        <f t="shared" si="26"/>
        <v>乾　伸綱</v>
      </c>
      <c r="AT80" s="187" t="str">
        <f t="shared" si="28"/>
        <v>ORC</v>
      </c>
      <c r="AU80" s="187">
        <f aca="true" t="shared" si="30" ref="AU80:AU85">AU79</f>
        <v>3</v>
      </c>
      <c r="AV80" s="188">
        <v>2</v>
      </c>
    </row>
    <row r="81" spans="35:48" ht="22.5" customHeight="1">
      <c r="AI81" s="1">
        <v>80</v>
      </c>
      <c r="AN81" s="1">
        <v>80</v>
      </c>
      <c r="AO81" s="186">
        <f t="shared" si="16"/>
        <v>1</v>
      </c>
      <c r="AP81" s="187">
        <v>3</v>
      </c>
      <c r="AQ81" s="187" t="str">
        <f t="shared" si="24"/>
        <v>KRC</v>
      </c>
      <c r="AR81" s="187" t="str">
        <f t="shared" si="25"/>
        <v>小山 久博</v>
      </c>
      <c r="AS81" s="187" t="str">
        <f t="shared" si="26"/>
        <v>吉岡 保俊</v>
      </c>
      <c r="AT81" s="187" t="str">
        <f t="shared" si="28"/>
        <v>ORC</v>
      </c>
      <c r="AU81" s="187">
        <f t="shared" si="30"/>
        <v>3</v>
      </c>
      <c r="AV81" s="188">
        <v>3</v>
      </c>
    </row>
    <row r="82" spans="35:48" ht="22.5" customHeight="1">
      <c r="AI82" s="1">
        <v>81</v>
      </c>
      <c r="AN82" s="1">
        <v>81</v>
      </c>
      <c r="AO82" s="186">
        <f t="shared" si="16"/>
        <v>1</v>
      </c>
      <c r="AP82" s="187">
        <v>4</v>
      </c>
      <c r="AQ82" s="187" t="str">
        <f t="shared" si="24"/>
        <v>KRC</v>
      </c>
      <c r="AR82" s="187" t="str">
        <f t="shared" si="25"/>
        <v>伊庭 保久</v>
      </c>
      <c r="AS82" s="187" t="str">
        <f t="shared" si="26"/>
        <v>山田 玄英</v>
      </c>
      <c r="AT82" s="187" t="str">
        <f t="shared" si="28"/>
        <v>ORC</v>
      </c>
      <c r="AU82" s="187">
        <f t="shared" si="30"/>
        <v>3</v>
      </c>
      <c r="AV82" s="188">
        <v>4</v>
      </c>
    </row>
    <row r="83" spans="35:48" ht="22.5" customHeight="1">
      <c r="AI83" s="1">
        <v>82</v>
      </c>
      <c r="AN83" s="1">
        <v>82</v>
      </c>
      <c r="AO83" s="186">
        <f t="shared" si="16"/>
        <v>1</v>
      </c>
      <c r="AP83" s="187">
        <v>5</v>
      </c>
      <c r="AQ83" s="187" t="str">
        <f t="shared" si="24"/>
        <v>KRC</v>
      </c>
      <c r="AR83" s="187" t="str">
        <f t="shared" si="25"/>
        <v>菊池 靖正</v>
      </c>
      <c r="AS83" s="187" t="str">
        <f t="shared" si="26"/>
        <v>由本　拓</v>
      </c>
      <c r="AT83" s="187" t="str">
        <f t="shared" si="28"/>
        <v>ORC</v>
      </c>
      <c r="AU83" s="187">
        <f t="shared" si="30"/>
        <v>3</v>
      </c>
      <c r="AV83" s="188">
        <v>5</v>
      </c>
    </row>
    <row r="84" spans="35:48" ht="22.5" customHeight="1">
      <c r="AI84" s="1">
        <v>83</v>
      </c>
      <c r="AN84" s="1">
        <v>83</v>
      </c>
      <c r="AO84" s="186">
        <f t="shared" si="16"/>
        <v>1</v>
      </c>
      <c r="AP84" s="187">
        <v>6</v>
      </c>
      <c r="AQ84" s="187" t="str">
        <f t="shared" si="24"/>
        <v>KRC</v>
      </c>
      <c r="AR84" s="187" t="str">
        <f t="shared" si="25"/>
        <v>田附 裕次</v>
      </c>
      <c r="AS84" s="187" t="str">
        <f t="shared" si="26"/>
        <v>田中 隆介</v>
      </c>
      <c r="AT84" s="187" t="str">
        <f t="shared" si="28"/>
        <v>ORC</v>
      </c>
      <c r="AU84" s="187">
        <f t="shared" si="30"/>
        <v>3</v>
      </c>
      <c r="AV84" s="188">
        <v>6</v>
      </c>
    </row>
    <row r="85" spans="35:48" ht="22.5" customHeight="1">
      <c r="AI85" s="1">
        <v>84</v>
      </c>
      <c r="AN85" s="1">
        <v>84</v>
      </c>
      <c r="AO85" s="189">
        <f t="shared" si="16"/>
        <v>1</v>
      </c>
      <c r="AP85" s="190">
        <v>7</v>
      </c>
      <c r="AQ85" s="190" t="str">
        <f t="shared" si="24"/>
        <v>KRC</v>
      </c>
      <c r="AR85" s="190" t="str">
        <f t="shared" si="25"/>
        <v>森田由佳里</v>
      </c>
      <c r="AS85" s="190" t="str">
        <f t="shared" si="26"/>
        <v>西田 恵子</v>
      </c>
      <c r="AT85" s="190" t="str">
        <f t="shared" si="28"/>
        <v>ORC</v>
      </c>
      <c r="AU85" s="190">
        <f t="shared" si="30"/>
        <v>3</v>
      </c>
      <c r="AV85" s="191">
        <v>7</v>
      </c>
    </row>
    <row r="86" spans="35:48" ht="22.5" customHeight="1">
      <c r="AI86" s="1">
        <v>85</v>
      </c>
      <c r="AN86" s="1">
        <v>85</v>
      </c>
      <c r="AO86" s="183">
        <f>IF(AO1=5,1,4)</f>
        <v>4</v>
      </c>
      <c r="AP86" s="184">
        <v>1</v>
      </c>
      <c r="AQ86" s="184" t="str">
        <f t="shared" si="24"/>
        <v>NRC</v>
      </c>
      <c r="AR86" s="184" t="str">
        <f t="shared" si="25"/>
        <v>白戸 玲人</v>
      </c>
      <c r="AS86" s="184" t="str">
        <f t="shared" si="26"/>
        <v>西峰 久祐</v>
      </c>
      <c r="AT86" s="184" t="str">
        <f t="shared" si="28"/>
        <v>SBC</v>
      </c>
      <c r="AU86" s="184">
        <f>IF(AO1=5,5,5)</f>
        <v>5</v>
      </c>
      <c r="AV86" s="185">
        <v>1</v>
      </c>
    </row>
    <row r="87" spans="35:48" ht="22.5" customHeight="1">
      <c r="AI87" s="1">
        <v>86</v>
      </c>
      <c r="AN87" s="1">
        <v>86</v>
      </c>
      <c r="AO87" s="186">
        <f t="shared" si="16"/>
        <v>4</v>
      </c>
      <c r="AP87" s="187">
        <v>2</v>
      </c>
      <c r="AQ87" s="187" t="str">
        <f t="shared" si="24"/>
        <v>NRC</v>
      </c>
      <c r="AR87" s="187" t="str">
        <f t="shared" si="25"/>
        <v>近藤 拓馬</v>
      </c>
      <c r="AS87" s="187" t="str">
        <f t="shared" si="26"/>
        <v>長田 智紀</v>
      </c>
      <c r="AT87" s="187" t="str">
        <f t="shared" si="28"/>
        <v>SBC</v>
      </c>
      <c r="AU87" s="187">
        <f aca="true" t="shared" si="31" ref="AU87:AU92">AU86</f>
        <v>5</v>
      </c>
      <c r="AV87" s="188">
        <v>2</v>
      </c>
    </row>
    <row r="88" spans="35:48" ht="22.5" customHeight="1">
      <c r="AI88" s="1">
        <v>87</v>
      </c>
      <c r="AN88" s="1">
        <v>87</v>
      </c>
      <c r="AO88" s="186">
        <f t="shared" si="16"/>
        <v>4</v>
      </c>
      <c r="AP88" s="187">
        <v>3</v>
      </c>
      <c r="AQ88" s="187" t="str">
        <f t="shared" si="24"/>
        <v>NRC</v>
      </c>
      <c r="AR88" s="187" t="str">
        <f t="shared" si="25"/>
        <v>吉向 翔平</v>
      </c>
      <c r="AS88" s="187" t="str">
        <f t="shared" si="26"/>
        <v>大橋 義治</v>
      </c>
      <c r="AT88" s="187" t="str">
        <f t="shared" si="28"/>
        <v>SBC</v>
      </c>
      <c r="AU88" s="187">
        <f t="shared" si="31"/>
        <v>5</v>
      </c>
      <c r="AV88" s="188">
        <v>3</v>
      </c>
    </row>
    <row r="89" spans="35:48" ht="22.5" customHeight="1">
      <c r="AI89" s="1">
        <v>88</v>
      </c>
      <c r="AN89" s="1">
        <v>88</v>
      </c>
      <c r="AO89" s="186">
        <f t="shared" si="16"/>
        <v>4</v>
      </c>
      <c r="AP89" s="187">
        <v>4</v>
      </c>
      <c r="AQ89" s="187" t="str">
        <f t="shared" si="24"/>
        <v>NRC</v>
      </c>
      <c r="AR89" s="187" t="str">
        <f t="shared" si="25"/>
        <v>山田 普之</v>
      </c>
      <c r="AS89" s="187" t="str">
        <f t="shared" si="26"/>
        <v>山中 康寛</v>
      </c>
      <c r="AT89" s="187" t="str">
        <f t="shared" si="28"/>
        <v>SBC</v>
      </c>
      <c r="AU89" s="187">
        <f t="shared" si="31"/>
        <v>5</v>
      </c>
      <c r="AV89" s="188">
        <v>4</v>
      </c>
    </row>
    <row r="90" spans="35:48" ht="22.5" customHeight="1">
      <c r="AI90" s="1">
        <v>89</v>
      </c>
      <c r="AN90" s="1">
        <v>89</v>
      </c>
      <c r="AO90" s="186">
        <f t="shared" si="16"/>
        <v>4</v>
      </c>
      <c r="AP90" s="187">
        <v>5</v>
      </c>
      <c r="AQ90" s="187" t="str">
        <f t="shared" si="24"/>
        <v>NRC</v>
      </c>
      <c r="AR90" s="187" t="str">
        <f t="shared" si="25"/>
        <v>山田 晃司</v>
      </c>
      <c r="AS90" s="187" t="str">
        <f t="shared" si="26"/>
        <v>高島 太一</v>
      </c>
      <c r="AT90" s="187" t="str">
        <f t="shared" si="28"/>
        <v>SBC</v>
      </c>
      <c r="AU90" s="187">
        <f t="shared" si="31"/>
        <v>5</v>
      </c>
      <c r="AV90" s="188">
        <v>5</v>
      </c>
    </row>
    <row r="91" spans="35:48" ht="22.5" customHeight="1">
      <c r="AI91" s="1">
        <v>90</v>
      </c>
      <c r="AN91" s="1">
        <v>90</v>
      </c>
      <c r="AO91" s="186">
        <f t="shared" si="16"/>
        <v>4</v>
      </c>
      <c r="AP91" s="187">
        <v>6</v>
      </c>
      <c r="AQ91" s="187" t="str">
        <f t="shared" si="24"/>
        <v>NRC</v>
      </c>
      <c r="AR91" s="187" t="str">
        <f t="shared" si="25"/>
        <v>長谷川 進</v>
      </c>
      <c r="AS91" s="187" t="str">
        <f t="shared" si="26"/>
        <v>須藤 浩章</v>
      </c>
      <c r="AT91" s="187" t="str">
        <f t="shared" si="28"/>
        <v>SBC</v>
      </c>
      <c r="AU91" s="187">
        <f t="shared" si="31"/>
        <v>5</v>
      </c>
      <c r="AV91" s="188">
        <v>6</v>
      </c>
    </row>
    <row r="92" spans="35:48" ht="22.5" customHeight="1">
      <c r="AI92" s="1">
        <v>91</v>
      </c>
      <c r="AN92" s="1">
        <v>91</v>
      </c>
      <c r="AO92" s="189">
        <f t="shared" si="16"/>
        <v>4</v>
      </c>
      <c r="AP92" s="190">
        <v>7</v>
      </c>
      <c r="AQ92" s="190" t="str">
        <f t="shared" si="24"/>
        <v>NRC</v>
      </c>
      <c r="AR92" s="190" t="str">
        <f t="shared" si="25"/>
        <v>宮野 早織</v>
      </c>
      <c r="AS92" s="190" t="str">
        <f t="shared" si="26"/>
        <v>酒井 美希</v>
      </c>
      <c r="AT92" s="190" t="str">
        <f t="shared" si="28"/>
        <v>SBC</v>
      </c>
      <c r="AU92" s="190">
        <f t="shared" si="31"/>
        <v>5</v>
      </c>
      <c r="AV92" s="191">
        <v>7</v>
      </c>
    </row>
    <row r="93" spans="35:48" ht="22.5" customHeight="1">
      <c r="AI93" s="1">
        <v>92</v>
      </c>
      <c r="AN93" s="1">
        <v>92</v>
      </c>
      <c r="AO93" s="183">
        <f>IF(AO1=5,3,3)</f>
        <v>3</v>
      </c>
      <c r="AP93" s="184">
        <v>1</v>
      </c>
      <c r="AQ93" s="184" t="str">
        <f t="shared" si="24"/>
        <v>ORC</v>
      </c>
      <c r="AR93" s="184" t="str">
        <f t="shared" si="25"/>
        <v>村上 泰辰</v>
      </c>
      <c r="AS93" s="184" t="str">
        <f t="shared" si="26"/>
        <v>末岡　修</v>
      </c>
      <c r="AT93" s="184" t="str">
        <f t="shared" si="28"/>
        <v>WRC</v>
      </c>
      <c r="AU93" s="184">
        <f>IF(AO1=5,2,6)</f>
        <v>6</v>
      </c>
      <c r="AV93" s="185">
        <v>1</v>
      </c>
    </row>
    <row r="94" spans="35:48" ht="22.5" customHeight="1">
      <c r="AI94" s="1">
        <v>93</v>
      </c>
      <c r="AN94" s="1">
        <v>93</v>
      </c>
      <c r="AO94" s="186">
        <f t="shared" si="16"/>
        <v>3</v>
      </c>
      <c r="AP94" s="187">
        <v>2</v>
      </c>
      <c r="AQ94" s="187" t="str">
        <f t="shared" si="24"/>
        <v>ORC</v>
      </c>
      <c r="AR94" s="187" t="str">
        <f t="shared" si="25"/>
        <v>乾　伸綱</v>
      </c>
      <c r="AS94" s="187" t="str">
        <f t="shared" si="26"/>
        <v>杉本 博章</v>
      </c>
      <c r="AT94" s="187" t="str">
        <f t="shared" si="28"/>
        <v>WRC</v>
      </c>
      <c r="AU94" s="187">
        <f aca="true" t="shared" si="32" ref="AU94:AU99">AU93</f>
        <v>6</v>
      </c>
      <c r="AV94" s="188">
        <v>2</v>
      </c>
    </row>
    <row r="95" spans="35:48" ht="22.5" customHeight="1">
      <c r="AI95" s="1">
        <v>94</v>
      </c>
      <c r="AN95" s="1">
        <v>94</v>
      </c>
      <c r="AO95" s="186">
        <f>AO94</f>
        <v>3</v>
      </c>
      <c r="AP95" s="187">
        <v>3</v>
      </c>
      <c r="AQ95" s="187" t="str">
        <f t="shared" si="24"/>
        <v>ORC</v>
      </c>
      <c r="AR95" s="187" t="str">
        <f t="shared" si="25"/>
        <v>吉岡 保俊</v>
      </c>
      <c r="AS95" s="187" t="str">
        <f t="shared" si="26"/>
        <v>丹次 力良</v>
      </c>
      <c r="AT95" s="187" t="str">
        <f t="shared" si="28"/>
        <v>WRC</v>
      </c>
      <c r="AU95" s="187">
        <f t="shared" si="32"/>
        <v>6</v>
      </c>
      <c r="AV95" s="188">
        <v>3</v>
      </c>
    </row>
    <row r="96" spans="35:48" ht="22.5" customHeight="1">
      <c r="AI96" s="1">
        <v>95</v>
      </c>
      <c r="AN96" s="1">
        <v>95</v>
      </c>
      <c r="AO96" s="186">
        <f>AO95</f>
        <v>3</v>
      </c>
      <c r="AP96" s="187">
        <v>4</v>
      </c>
      <c r="AQ96" s="187" t="str">
        <f t="shared" si="24"/>
        <v>ORC</v>
      </c>
      <c r="AR96" s="187" t="str">
        <f t="shared" si="25"/>
        <v>山田 玄英</v>
      </c>
      <c r="AS96" s="187" t="str">
        <f t="shared" si="26"/>
        <v>芝先 泰生</v>
      </c>
      <c r="AT96" s="187" t="str">
        <f t="shared" si="28"/>
        <v>WRC</v>
      </c>
      <c r="AU96" s="187">
        <f t="shared" si="32"/>
        <v>6</v>
      </c>
      <c r="AV96" s="188">
        <v>4</v>
      </c>
    </row>
    <row r="97" spans="35:48" ht="22.5" customHeight="1">
      <c r="AI97" s="1">
        <v>96</v>
      </c>
      <c r="AN97" s="1">
        <v>96</v>
      </c>
      <c r="AO97" s="186">
        <f>AO96</f>
        <v>3</v>
      </c>
      <c r="AP97" s="187">
        <v>5</v>
      </c>
      <c r="AQ97" s="187" t="str">
        <f t="shared" si="24"/>
        <v>ORC</v>
      </c>
      <c r="AR97" s="187" t="str">
        <f t="shared" si="25"/>
        <v>由本　拓</v>
      </c>
      <c r="AS97" s="187" t="str">
        <f t="shared" si="26"/>
        <v>岸上 賢一</v>
      </c>
      <c r="AT97" s="187" t="str">
        <f t="shared" si="28"/>
        <v>WRC</v>
      </c>
      <c r="AU97" s="187">
        <f t="shared" si="32"/>
        <v>6</v>
      </c>
      <c r="AV97" s="188">
        <v>5</v>
      </c>
    </row>
    <row r="98" spans="35:48" ht="22.5" customHeight="1">
      <c r="AI98" s="1">
        <v>97</v>
      </c>
      <c r="AN98" s="1">
        <v>97</v>
      </c>
      <c r="AO98" s="186">
        <f>AO97</f>
        <v>3</v>
      </c>
      <c r="AP98" s="187">
        <v>6</v>
      </c>
      <c r="AQ98" s="187" t="str">
        <f t="shared" si="24"/>
        <v>ORC</v>
      </c>
      <c r="AR98" s="187" t="str">
        <f t="shared" si="25"/>
        <v>田中 隆介</v>
      </c>
      <c r="AS98" s="187" t="str">
        <f t="shared" si="26"/>
        <v>中本 雅大</v>
      </c>
      <c r="AT98" s="187" t="str">
        <f t="shared" si="28"/>
        <v>WRC</v>
      </c>
      <c r="AU98" s="187">
        <f t="shared" si="32"/>
        <v>6</v>
      </c>
      <c r="AV98" s="188">
        <v>6</v>
      </c>
    </row>
    <row r="99" spans="35:48" ht="22.5" customHeight="1">
      <c r="AI99" s="1">
        <v>98</v>
      </c>
      <c r="AN99" s="1">
        <v>98</v>
      </c>
      <c r="AO99" s="189">
        <f>AO98</f>
        <v>3</v>
      </c>
      <c r="AP99" s="190">
        <v>7</v>
      </c>
      <c r="AQ99" s="190" t="str">
        <f t="shared" si="24"/>
        <v>ORC</v>
      </c>
      <c r="AR99" s="190" t="str">
        <f t="shared" si="25"/>
        <v>西田 恵子</v>
      </c>
      <c r="AS99" s="190" t="str">
        <f t="shared" si="26"/>
        <v>松房ゆかり</v>
      </c>
      <c r="AT99" s="190" t="str">
        <f t="shared" si="28"/>
        <v>WRC</v>
      </c>
      <c r="AU99" s="190">
        <f t="shared" si="32"/>
        <v>6</v>
      </c>
      <c r="AV99" s="191">
        <v>7</v>
      </c>
    </row>
    <row r="100" spans="35:48" ht="22.5" customHeight="1">
      <c r="AI100" s="1">
        <v>99</v>
      </c>
      <c r="AN100" s="1">
        <v>99</v>
      </c>
      <c r="AO100" s="183">
        <f>IF(AO1=5,1,1)</f>
        <v>1</v>
      </c>
      <c r="AP100" s="184">
        <v>1</v>
      </c>
      <c r="AQ100" s="184" t="str">
        <f t="shared" si="24"/>
        <v>KRC</v>
      </c>
      <c r="AR100" s="184" t="str">
        <f t="shared" si="25"/>
        <v>折戸 和幸</v>
      </c>
      <c r="AS100" s="184" t="str">
        <f t="shared" si="26"/>
        <v>堂園 雅也</v>
      </c>
      <c r="AT100" s="184" t="str">
        <f t="shared" si="28"/>
        <v>HRC</v>
      </c>
      <c r="AU100" s="184">
        <f>IF(AO1=5,4,2)</f>
        <v>2</v>
      </c>
      <c r="AV100" s="185">
        <v>1</v>
      </c>
    </row>
    <row r="101" spans="35:48" ht="24" customHeight="1">
      <c r="AI101" s="1">
        <v>100</v>
      </c>
      <c r="AN101" s="1">
        <v>100</v>
      </c>
      <c r="AO101" s="186">
        <f aca="true" t="shared" si="33" ref="AO101:AO106">AO100</f>
        <v>1</v>
      </c>
      <c r="AP101" s="187">
        <v>2</v>
      </c>
      <c r="AQ101" s="187" t="str">
        <f t="shared" si="24"/>
        <v>KRC</v>
      </c>
      <c r="AR101" s="187" t="str">
        <f t="shared" si="25"/>
        <v>今村 哲也</v>
      </c>
      <c r="AS101" s="187" t="str">
        <f t="shared" si="26"/>
        <v>長井　充</v>
      </c>
      <c r="AT101" s="187" t="str">
        <f t="shared" si="28"/>
        <v>HRC</v>
      </c>
      <c r="AU101" s="187">
        <f aca="true" t="shared" si="34" ref="AU101:AU106">AU100</f>
        <v>2</v>
      </c>
      <c r="AV101" s="188">
        <v>2</v>
      </c>
    </row>
    <row r="102" spans="35:48" ht="24" customHeight="1">
      <c r="AI102" s="1">
        <v>101</v>
      </c>
      <c r="AN102" s="1">
        <v>101</v>
      </c>
      <c r="AO102" s="186">
        <f t="shared" si="33"/>
        <v>1</v>
      </c>
      <c r="AP102" s="187">
        <v>3</v>
      </c>
      <c r="AQ102" s="187" t="str">
        <f t="shared" si="24"/>
        <v>KRC</v>
      </c>
      <c r="AR102" s="187" t="str">
        <f t="shared" si="25"/>
        <v>小山 久博</v>
      </c>
      <c r="AS102" s="187" t="str">
        <f t="shared" si="26"/>
        <v>藤中健太郎</v>
      </c>
      <c r="AT102" s="187" t="str">
        <f t="shared" si="28"/>
        <v>HRC</v>
      </c>
      <c r="AU102" s="187">
        <f t="shared" si="34"/>
        <v>2</v>
      </c>
      <c r="AV102" s="188">
        <v>3</v>
      </c>
    </row>
    <row r="103" spans="35:48" ht="24" customHeight="1">
      <c r="AI103" s="1">
        <v>102</v>
      </c>
      <c r="AN103" s="1">
        <v>102</v>
      </c>
      <c r="AO103" s="186">
        <f t="shared" si="33"/>
        <v>1</v>
      </c>
      <c r="AP103" s="187">
        <v>4</v>
      </c>
      <c r="AQ103" s="187" t="str">
        <f t="shared" si="24"/>
        <v>KRC</v>
      </c>
      <c r="AR103" s="187" t="str">
        <f t="shared" si="25"/>
        <v>伊庭 保久</v>
      </c>
      <c r="AS103" s="187" t="str">
        <f t="shared" si="26"/>
        <v>後藤 勇治</v>
      </c>
      <c r="AT103" s="187" t="str">
        <f t="shared" si="28"/>
        <v>HRC</v>
      </c>
      <c r="AU103" s="187">
        <f t="shared" si="34"/>
        <v>2</v>
      </c>
      <c r="AV103" s="188">
        <v>4</v>
      </c>
    </row>
    <row r="104" spans="35:48" ht="24" customHeight="1">
      <c r="AI104" s="1">
        <v>103</v>
      </c>
      <c r="AN104" s="1">
        <v>103</v>
      </c>
      <c r="AO104" s="186">
        <f t="shared" si="33"/>
        <v>1</v>
      </c>
      <c r="AP104" s="187">
        <v>5</v>
      </c>
      <c r="AQ104" s="187" t="str">
        <f t="shared" si="24"/>
        <v>KRC</v>
      </c>
      <c r="AR104" s="187" t="str">
        <f t="shared" si="25"/>
        <v>菊池 靖正</v>
      </c>
      <c r="AS104" s="187" t="str">
        <f t="shared" si="26"/>
        <v>丹羽 俊也</v>
      </c>
      <c r="AT104" s="187" t="str">
        <f t="shared" si="28"/>
        <v>HRC</v>
      </c>
      <c r="AU104" s="187">
        <f t="shared" si="34"/>
        <v>2</v>
      </c>
      <c r="AV104" s="188">
        <v>5</v>
      </c>
    </row>
    <row r="105" spans="35:48" ht="24" customHeight="1">
      <c r="AI105" s="1">
        <v>104</v>
      </c>
      <c r="AN105" s="1">
        <v>104</v>
      </c>
      <c r="AO105" s="186">
        <f t="shared" si="33"/>
        <v>1</v>
      </c>
      <c r="AP105" s="187">
        <v>6</v>
      </c>
      <c r="AQ105" s="187" t="str">
        <f t="shared" si="24"/>
        <v>KRC</v>
      </c>
      <c r="AR105" s="187" t="str">
        <f t="shared" si="25"/>
        <v>田附 裕次</v>
      </c>
      <c r="AS105" s="187" t="str">
        <f t="shared" si="26"/>
        <v>平井 洸志</v>
      </c>
      <c r="AT105" s="187" t="str">
        <f t="shared" si="28"/>
        <v>HRC</v>
      </c>
      <c r="AU105" s="187">
        <f t="shared" si="34"/>
        <v>2</v>
      </c>
      <c r="AV105" s="188">
        <v>6</v>
      </c>
    </row>
    <row r="106" spans="35:48" ht="24" customHeight="1">
      <c r="AI106" s="1">
        <v>105</v>
      </c>
      <c r="AN106" s="1">
        <v>105</v>
      </c>
      <c r="AO106" s="189">
        <f t="shared" si="33"/>
        <v>1</v>
      </c>
      <c r="AP106" s="190">
        <v>7</v>
      </c>
      <c r="AQ106" s="190" t="str">
        <f t="shared" si="24"/>
        <v>KRC</v>
      </c>
      <c r="AR106" s="190" t="str">
        <f t="shared" si="25"/>
        <v>森田由佳里</v>
      </c>
      <c r="AS106" s="190" t="str">
        <f t="shared" si="26"/>
        <v>栃下 恭子</v>
      </c>
      <c r="AT106" s="190" t="str">
        <f t="shared" si="28"/>
        <v>HRC</v>
      </c>
      <c r="AU106" s="190">
        <f t="shared" si="34"/>
        <v>2</v>
      </c>
      <c r="AV106" s="191">
        <v>7</v>
      </c>
    </row>
    <row r="107" spans="35:48" ht="24" customHeight="1">
      <c r="AI107" s="1">
        <v>106</v>
      </c>
      <c r="AJ107" s="1" t="str">
        <f>IF($AO$1=6,"第2節","")</f>
        <v>第2節</v>
      </c>
      <c r="AN107" s="1">
        <v>106</v>
      </c>
      <c r="AO107" s="183">
        <f>IF(AO1=5,3,3)</f>
        <v>3</v>
      </c>
      <c r="AP107" s="184">
        <v>3</v>
      </c>
      <c r="AQ107" s="184" t="str">
        <f t="shared" si="24"/>
        <v>ORC</v>
      </c>
      <c r="AR107" s="184" t="str">
        <f t="shared" si="25"/>
        <v>吉岡 保俊</v>
      </c>
      <c r="AS107" s="184" t="str">
        <f t="shared" si="26"/>
        <v>山田 普之</v>
      </c>
      <c r="AT107" s="184" t="str">
        <f t="shared" si="28"/>
        <v>NRC</v>
      </c>
      <c r="AU107" s="184">
        <f>IF(AO1=5,5,4)</f>
        <v>4</v>
      </c>
      <c r="AV107" s="185">
        <v>4</v>
      </c>
    </row>
    <row r="108" spans="35:48" ht="24" customHeight="1">
      <c r="AI108" s="1">
        <v>107</v>
      </c>
      <c r="AN108" s="1">
        <v>107</v>
      </c>
      <c r="AO108" s="186">
        <f aca="true" t="shared" si="35" ref="AO108:AO113">AO107</f>
        <v>3</v>
      </c>
      <c r="AP108" s="187">
        <v>4</v>
      </c>
      <c r="AQ108" s="187" t="str">
        <f t="shared" si="24"/>
        <v>ORC</v>
      </c>
      <c r="AR108" s="187" t="str">
        <f t="shared" si="25"/>
        <v>山田 玄英</v>
      </c>
      <c r="AS108" s="187" t="str">
        <f t="shared" si="26"/>
        <v>山田 晃司</v>
      </c>
      <c r="AT108" s="187" t="str">
        <f t="shared" si="28"/>
        <v>NRC</v>
      </c>
      <c r="AU108" s="187">
        <f aca="true" t="shared" si="36" ref="AU108:AU113">AU107</f>
        <v>4</v>
      </c>
      <c r="AV108" s="188">
        <v>5</v>
      </c>
    </row>
    <row r="109" spans="35:48" ht="24" customHeight="1">
      <c r="AI109" s="1">
        <v>108</v>
      </c>
      <c r="AN109" s="1">
        <v>108</v>
      </c>
      <c r="AO109" s="186">
        <f t="shared" si="35"/>
        <v>3</v>
      </c>
      <c r="AP109" s="187">
        <v>5</v>
      </c>
      <c r="AQ109" s="187" t="str">
        <f t="shared" si="24"/>
        <v>ORC</v>
      </c>
      <c r="AR109" s="187" t="str">
        <f t="shared" si="25"/>
        <v>由本　拓</v>
      </c>
      <c r="AS109" s="187" t="str">
        <f t="shared" si="26"/>
        <v>長谷川 進</v>
      </c>
      <c r="AT109" s="187" t="str">
        <f t="shared" si="28"/>
        <v>NRC</v>
      </c>
      <c r="AU109" s="187">
        <f t="shared" si="36"/>
        <v>4</v>
      </c>
      <c r="AV109" s="188">
        <v>6</v>
      </c>
    </row>
    <row r="110" spans="35:48" ht="24" customHeight="1">
      <c r="AI110" s="1">
        <v>109</v>
      </c>
      <c r="AN110" s="1">
        <v>109</v>
      </c>
      <c r="AO110" s="186">
        <f t="shared" si="35"/>
        <v>3</v>
      </c>
      <c r="AP110" s="187">
        <v>6</v>
      </c>
      <c r="AQ110" s="187" t="str">
        <f t="shared" si="24"/>
        <v>ORC</v>
      </c>
      <c r="AR110" s="187" t="str">
        <f t="shared" si="25"/>
        <v>田中 隆介</v>
      </c>
      <c r="AS110" s="187" t="str">
        <f t="shared" si="26"/>
        <v>宮野 早織</v>
      </c>
      <c r="AT110" s="187" t="str">
        <f t="shared" si="28"/>
        <v>NRC</v>
      </c>
      <c r="AU110" s="187">
        <f t="shared" si="36"/>
        <v>4</v>
      </c>
      <c r="AV110" s="188">
        <v>7</v>
      </c>
    </row>
    <row r="111" spans="35:48" ht="24" customHeight="1">
      <c r="AI111" s="1">
        <v>110</v>
      </c>
      <c r="AN111" s="1">
        <v>110</v>
      </c>
      <c r="AO111" s="186">
        <f t="shared" si="35"/>
        <v>3</v>
      </c>
      <c r="AP111" s="187">
        <v>7</v>
      </c>
      <c r="AQ111" s="187" t="str">
        <f t="shared" si="24"/>
        <v>ORC</v>
      </c>
      <c r="AR111" s="187" t="str">
        <f t="shared" si="25"/>
        <v>西田 恵子</v>
      </c>
      <c r="AS111" s="187" t="str">
        <f t="shared" si="26"/>
        <v>白戸 玲人</v>
      </c>
      <c r="AT111" s="187" t="str">
        <f t="shared" si="28"/>
        <v>NRC</v>
      </c>
      <c r="AU111" s="187">
        <f t="shared" si="36"/>
        <v>4</v>
      </c>
      <c r="AV111" s="188">
        <v>1</v>
      </c>
    </row>
    <row r="112" spans="35:48" ht="24" customHeight="1">
      <c r="AI112" s="1">
        <v>111</v>
      </c>
      <c r="AN112" s="1">
        <v>111</v>
      </c>
      <c r="AO112" s="186">
        <f t="shared" si="35"/>
        <v>3</v>
      </c>
      <c r="AP112" s="187">
        <v>1</v>
      </c>
      <c r="AQ112" s="187" t="str">
        <f t="shared" si="24"/>
        <v>ORC</v>
      </c>
      <c r="AR112" s="187" t="str">
        <f t="shared" si="25"/>
        <v>村上 泰辰</v>
      </c>
      <c r="AS112" s="187" t="str">
        <f t="shared" si="26"/>
        <v>近藤 拓馬</v>
      </c>
      <c r="AT112" s="187" t="str">
        <f t="shared" si="28"/>
        <v>NRC</v>
      </c>
      <c r="AU112" s="187">
        <f t="shared" si="36"/>
        <v>4</v>
      </c>
      <c r="AV112" s="188">
        <v>2</v>
      </c>
    </row>
    <row r="113" spans="35:48" ht="24" customHeight="1">
      <c r="AI113" s="1">
        <v>112</v>
      </c>
      <c r="AN113" s="1">
        <v>112</v>
      </c>
      <c r="AO113" s="189">
        <f t="shared" si="35"/>
        <v>3</v>
      </c>
      <c r="AP113" s="190">
        <v>2</v>
      </c>
      <c r="AQ113" s="190" t="str">
        <f t="shared" si="24"/>
        <v>ORC</v>
      </c>
      <c r="AR113" s="190" t="str">
        <f t="shared" si="25"/>
        <v>乾　伸綱</v>
      </c>
      <c r="AS113" s="190" t="str">
        <f t="shared" si="26"/>
        <v>吉向 翔平</v>
      </c>
      <c r="AT113" s="190" t="str">
        <f t="shared" si="28"/>
        <v>NRC</v>
      </c>
      <c r="AU113" s="190">
        <f t="shared" si="36"/>
        <v>4</v>
      </c>
      <c r="AV113" s="191">
        <v>3</v>
      </c>
    </row>
    <row r="114" spans="35:48" ht="24" customHeight="1">
      <c r="AI114" s="1">
        <v>113</v>
      </c>
      <c r="AN114" s="1">
        <v>113</v>
      </c>
      <c r="AO114" s="183">
        <f>IF(AO1=5,4,2)</f>
        <v>2</v>
      </c>
      <c r="AP114" s="184">
        <v>2</v>
      </c>
      <c r="AQ114" s="184" t="str">
        <f t="shared" si="24"/>
        <v>HRC</v>
      </c>
      <c r="AR114" s="184" t="str">
        <f t="shared" si="25"/>
        <v>長井　充</v>
      </c>
      <c r="AS114" s="184" t="str">
        <f t="shared" si="26"/>
        <v>高島 太一</v>
      </c>
      <c r="AT114" s="184" t="str">
        <f t="shared" si="28"/>
        <v>SBC</v>
      </c>
      <c r="AU114" s="184">
        <f>IF(AO1=5,2,5)</f>
        <v>5</v>
      </c>
      <c r="AV114" s="185">
        <v>5</v>
      </c>
    </row>
    <row r="115" spans="35:48" ht="24" customHeight="1">
      <c r="AI115" s="1">
        <v>114</v>
      </c>
      <c r="AN115" s="1">
        <v>114</v>
      </c>
      <c r="AO115" s="186">
        <f aca="true" t="shared" si="37" ref="AO115:AO120">AO114</f>
        <v>2</v>
      </c>
      <c r="AP115" s="187">
        <v>3</v>
      </c>
      <c r="AQ115" s="187" t="str">
        <f t="shared" si="24"/>
        <v>HRC</v>
      </c>
      <c r="AR115" s="187" t="str">
        <f t="shared" si="25"/>
        <v>藤中健太郎</v>
      </c>
      <c r="AS115" s="187" t="str">
        <f t="shared" si="26"/>
        <v>須藤 浩章</v>
      </c>
      <c r="AT115" s="187" t="str">
        <f t="shared" si="28"/>
        <v>SBC</v>
      </c>
      <c r="AU115" s="187">
        <f aca="true" t="shared" si="38" ref="AU115:AU120">AU114</f>
        <v>5</v>
      </c>
      <c r="AV115" s="188">
        <v>6</v>
      </c>
    </row>
    <row r="116" spans="35:48" ht="24" customHeight="1">
      <c r="AI116" s="1">
        <v>115</v>
      </c>
      <c r="AN116" s="1">
        <v>115</v>
      </c>
      <c r="AO116" s="186">
        <f t="shared" si="37"/>
        <v>2</v>
      </c>
      <c r="AP116" s="187">
        <v>4</v>
      </c>
      <c r="AQ116" s="187" t="str">
        <f t="shared" si="24"/>
        <v>HRC</v>
      </c>
      <c r="AR116" s="187" t="str">
        <f t="shared" si="25"/>
        <v>後藤 勇治</v>
      </c>
      <c r="AS116" s="187" t="str">
        <f t="shared" si="26"/>
        <v>酒井 美希</v>
      </c>
      <c r="AT116" s="187" t="str">
        <f t="shared" si="28"/>
        <v>SBC</v>
      </c>
      <c r="AU116" s="187">
        <f t="shared" si="38"/>
        <v>5</v>
      </c>
      <c r="AV116" s="188">
        <v>7</v>
      </c>
    </row>
    <row r="117" spans="35:48" ht="24" customHeight="1">
      <c r="AI117" s="1">
        <v>116</v>
      </c>
      <c r="AN117" s="1">
        <v>116</v>
      </c>
      <c r="AO117" s="186">
        <f t="shared" si="37"/>
        <v>2</v>
      </c>
      <c r="AP117" s="187">
        <v>5</v>
      </c>
      <c r="AQ117" s="187" t="str">
        <f t="shared" si="24"/>
        <v>HRC</v>
      </c>
      <c r="AR117" s="187" t="str">
        <f t="shared" si="25"/>
        <v>丹羽 俊也</v>
      </c>
      <c r="AS117" s="187" t="str">
        <f t="shared" si="26"/>
        <v>西峰 久祐</v>
      </c>
      <c r="AT117" s="187" t="str">
        <f t="shared" si="28"/>
        <v>SBC</v>
      </c>
      <c r="AU117" s="187">
        <f t="shared" si="38"/>
        <v>5</v>
      </c>
      <c r="AV117" s="188">
        <v>1</v>
      </c>
    </row>
    <row r="118" spans="35:48" ht="24" customHeight="1">
      <c r="AI118" s="1">
        <v>117</v>
      </c>
      <c r="AN118" s="1">
        <v>117</v>
      </c>
      <c r="AO118" s="186">
        <f t="shared" si="37"/>
        <v>2</v>
      </c>
      <c r="AP118" s="187">
        <v>6</v>
      </c>
      <c r="AQ118" s="187" t="str">
        <f t="shared" si="24"/>
        <v>HRC</v>
      </c>
      <c r="AR118" s="187" t="str">
        <f t="shared" si="25"/>
        <v>平井 洸志</v>
      </c>
      <c r="AS118" s="187" t="str">
        <f t="shared" si="26"/>
        <v>長田 智紀</v>
      </c>
      <c r="AT118" s="187" t="str">
        <f t="shared" si="28"/>
        <v>SBC</v>
      </c>
      <c r="AU118" s="187">
        <f t="shared" si="38"/>
        <v>5</v>
      </c>
      <c r="AV118" s="188">
        <v>2</v>
      </c>
    </row>
    <row r="119" spans="35:48" ht="24" customHeight="1">
      <c r="AI119" s="1">
        <v>118</v>
      </c>
      <c r="AN119" s="1">
        <v>118</v>
      </c>
      <c r="AO119" s="186">
        <f t="shared" si="37"/>
        <v>2</v>
      </c>
      <c r="AP119" s="187">
        <v>7</v>
      </c>
      <c r="AQ119" s="187" t="str">
        <f t="shared" si="24"/>
        <v>HRC</v>
      </c>
      <c r="AR119" s="187" t="str">
        <f t="shared" si="25"/>
        <v>栃下 恭子</v>
      </c>
      <c r="AS119" s="187" t="str">
        <f t="shared" si="26"/>
        <v>大橋 義治</v>
      </c>
      <c r="AT119" s="187" t="str">
        <f t="shared" si="28"/>
        <v>SBC</v>
      </c>
      <c r="AU119" s="187">
        <f t="shared" si="38"/>
        <v>5</v>
      </c>
      <c r="AV119" s="188">
        <v>3</v>
      </c>
    </row>
    <row r="120" spans="35:48" ht="24" customHeight="1">
      <c r="AI120" s="1">
        <v>119</v>
      </c>
      <c r="AN120" s="1">
        <v>119</v>
      </c>
      <c r="AO120" s="189">
        <f t="shared" si="37"/>
        <v>2</v>
      </c>
      <c r="AP120" s="190">
        <v>1</v>
      </c>
      <c r="AQ120" s="190" t="str">
        <f t="shared" si="24"/>
        <v>HRC</v>
      </c>
      <c r="AR120" s="190" t="str">
        <f t="shared" si="25"/>
        <v>堂園 雅也</v>
      </c>
      <c r="AS120" s="190" t="str">
        <f t="shared" si="26"/>
        <v>山中 康寛</v>
      </c>
      <c r="AT120" s="190" t="str">
        <f t="shared" si="28"/>
        <v>SBC</v>
      </c>
      <c r="AU120" s="190">
        <f t="shared" si="38"/>
        <v>5</v>
      </c>
      <c r="AV120" s="191">
        <v>4</v>
      </c>
    </row>
    <row r="121" spans="35:48" ht="24" customHeight="1">
      <c r="AI121" s="1">
        <v>120</v>
      </c>
      <c r="AN121" s="1">
        <v>120</v>
      </c>
      <c r="AO121" s="183">
        <f>IF(AO1=5,3,1)</f>
        <v>1</v>
      </c>
      <c r="AP121" s="184">
        <v>1</v>
      </c>
      <c r="AQ121" s="184" t="str">
        <f t="shared" si="24"/>
        <v>KRC</v>
      </c>
      <c r="AR121" s="184" t="str">
        <f t="shared" si="25"/>
        <v>折戸 和幸</v>
      </c>
      <c r="AS121" s="184" t="str">
        <f t="shared" si="26"/>
        <v>中本 雅大</v>
      </c>
      <c r="AT121" s="184" t="str">
        <f t="shared" si="28"/>
        <v>WRC</v>
      </c>
      <c r="AU121" s="184">
        <f>IF(AO1=5,1,6)</f>
        <v>6</v>
      </c>
      <c r="AV121" s="185">
        <v>6</v>
      </c>
    </row>
    <row r="122" spans="35:48" ht="24" customHeight="1">
      <c r="AI122" s="1">
        <v>121</v>
      </c>
      <c r="AN122" s="1">
        <v>121</v>
      </c>
      <c r="AO122" s="186">
        <f aca="true" t="shared" si="39" ref="AO122:AO127">AO121</f>
        <v>1</v>
      </c>
      <c r="AP122" s="187">
        <v>2</v>
      </c>
      <c r="AQ122" s="187" t="str">
        <f t="shared" si="24"/>
        <v>KRC</v>
      </c>
      <c r="AR122" s="187" t="str">
        <f t="shared" si="25"/>
        <v>今村 哲也</v>
      </c>
      <c r="AS122" s="187" t="str">
        <f t="shared" si="26"/>
        <v>松房ゆかり</v>
      </c>
      <c r="AT122" s="187" t="str">
        <f t="shared" si="28"/>
        <v>WRC</v>
      </c>
      <c r="AU122" s="187">
        <f aca="true" t="shared" si="40" ref="AU122:AU127">AU121</f>
        <v>6</v>
      </c>
      <c r="AV122" s="188">
        <v>7</v>
      </c>
    </row>
    <row r="123" spans="35:48" ht="24" customHeight="1">
      <c r="AI123" s="1">
        <v>122</v>
      </c>
      <c r="AN123" s="1">
        <v>122</v>
      </c>
      <c r="AO123" s="186">
        <f t="shared" si="39"/>
        <v>1</v>
      </c>
      <c r="AP123" s="187">
        <v>3</v>
      </c>
      <c r="AQ123" s="187" t="str">
        <f t="shared" si="24"/>
        <v>KRC</v>
      </c>
      <c r="AR123" s="187" t="str">
        <f t="shared" si="25"/>
        <v>小山 久博</v>
      </c>
      <c r="AS123" s="187" t="str">
        <f t="shared" si="26"/>
        <v>末岡　修</v>
      </c>
      <c r="AT123" s="187" t="str">
        <f t="shared" si="28"/>
        <v>WRC</v>
      </c>
      <c r="AU123" s="187">
        <f t="shared" si="40"/>
        <v>6</v>
      </c>
      <c r="AV123" s="188">
        <v>1</v>
      </c>
    </row>
    <row r="124" spans="35:48" ht="24" customHeight="1">
      <c r="AI124" s="1">
        <v>123</v>
      </c>
      <c r="AN124" s="1">
        <v>123</v>
      </c>
      <c r="AO124" s="186">
        <f t="shared" si="39"/>
        <v>1</v>
      </c>
      <c r="AP124" s="187">
        <v>4</v>
      </c>
      <c r="AQ124" s="187" t="str">
        <f t="shared" si="24"/>
        <v>KRC</v>
      </c>
      <c r="AR124" s="187" t="str">
        <f t="shared" si="25"/>
        <v>伊庭 保久</v>
      </c>
      <c r="AS124" s="187" t="str">
        <f t="shared" si="26"/>
        <v>杉本 博章</v>
      </c>
      <c r="AT124" s="187" t="str">
        <f t="shared" si="28"/>
        <v>WRC</v>
      </c>
      <c r="AU124" s="187">
        <f t="shared" si="40"/>
        <v>6</v>
      </c>
      <c r="AV124" s="188">
        <v>2</v>
      </c>
    </row>
    <row r="125" spans="35:48" ht="24" customHeight="1">
      <c r="AI125" s="1">
        <v>124</v>
      </c>
      <c r="AN125" s="1">
        <v>124</v>
      </c>
      <c r="AO125" s="186">
        <f t="shared" si="39"/>
        <v>1</v>
      </c>
      <c r="AP125" s="187">
        <v>5</v>
      </c>
      <c r="AQ125" s="187" t="str">
        <f t="shared" si="24"/>
        <v>KRC</v>
      </c>
      <c r="AR125" s="187" t="str">
        <f t="shared" si="25"/>
        <v>菊池 靖正</v>
      </c>
      <c r="AS125" s="187" t="str">
        <f t="shared" si="26"/>
        <v>丹次 力良</v>
      </c>
      <c r="AT125" s="187" t="str">
        <f t="shared" si="28"/>
        <v>WRC</v>
      </c>
      <c r="AU125" s="187">
        <f t="shared" si="40"/>
        <v>6</v>
      </c>
      <c r="AV125" s="188">
        <v>3</v>
      </c>
    </row>
    <row r="126" spans="35:48" ht="24" customHeight="1">
      <c r="AI126" s="1">
        <v>125</v>
      </c>
      <c r="AN126" s="1">
        <v>125</v>
      </c>
      <c r="AO126" s="186">
        <f t="shared" si="39"/>
        <v>1</v>
      </c>
      <c r="AP126" s="187">
        <v>6</v>
      </c>
      <c r="AQ126" s="187" t="str">
        <f t="shared" si="24"/>
        <v>KRC</v>
      </c>
      <c r="AR126" s="187" t="str">
        <f t="shared" si="25"/>
        <v>田附 裕次</v>
      </c>
      <c r="AS126" s="187" t="str">
        <f t="shared" si="26"/>
        <v>芝先 泰生</v>
      </c>
      <c r="AT126" s="187" t="str">
        <f t="shared" si="28"/>
        <v>WRC</v>
      </c>
      <c r="AU126" s="187">
        <f t="shared" si="40"/>
        <v>6</v>
      </c>
      <c r="AV126" s="188">
        <v>4</v>
      </c>
    </row>
    <row r="127" spans="35:48" ht="24" customHeight="1">
      <c r="AI127" s="1">
        <v>126</v>
      </c>
      <c r="AN127" s="1">
        <v>126</v>
      </c>
      <c r="AO127" s="189">
        <f t="shared" si="39"/>
        <v>1</v>
      </c>
      <c r="AP127" s="190">
        <v>7</v>
      </c>
      <c r="AQ127" s="190" t="str">
        <f t="shared" si="24"/>
        <v>KRC</v>
      </c>
      <c r="AR127" s="190" t="str">
        <f t="shared" si="25"/>
        <v>森田由佳里</v>
      </c>
      <c r="AS127" s="190" t="str">
        <f t="shared" si="26"/>
        <v>岸上 賢一</v>
      </c>
      <c r="AT127" s="190" t="str">
        <f t="shared" si="28"/>
        <v>WRC</v>
      </c>
      <c r="AU127" s="190">
        <f t="shared" si="40"/>
        <v>6</v>
      </c>
      <c r="AV127" s="191">
        <v>5</v>
      </c>
    </row>
    <row r="128" spans="35:48" ht="24" customHeight="1">
      <c r="AI128" s="1">
        <v>127</v>
      </c>
      <c r="AN128" s="1">
        <v>127</v>
      </c>
      <c r="AO128" s="183">
        <f>IF(AO1=5,4,2)</f>
        <v>2</v>
      </c>
      <c r="AP128" s="184">
        <v>2</v>
      </c>
      <c r="AQ128" s="184" t="str">
        <f t="shared" si="24"/>
        <v>HRC</v>
      </c>
      <c r="AR128" s="184" t="str">
        <f t="shared" si="25"/>
        <v>長井　充</v>
      </c>
      <c r="AS128" s="184" t="str">
        <f t="shared" si="26"/>
        <v>吉岡 保俊</v>
      </c>
      <c r="AT128" s="184" t="str">
        <f t="shared" si="28"/>
        <v>ORC</v>
      </c>
      <c r="AU128" s="184">
        <f>IF(AO1=5,5,3)</f>
        <v>3</v>
      </c>
      <c r="AV128" s="185">
        <v>3</v>
      </c>
    </row>
    <row r="129" spans="35:48" ht="24" customHeight="1">
      <c r="AI129" s="1">
        <v>128</v>
      </c>
      <c r="AN129" s="1">
        <v>128</v>
      </c>
      <c r="AO129" s="186">
        <f aca="true" t="shared" si="41" ref="AO129:AO134">AO128</f>
        <v>2</v>
      </c>
      <c r="AP129" s="187">
        <v>3</v>
      </c>
      <c r="AQ129" s="187" t="str">
        <f t="shared" si="24"/>
        <v>HRC</v>
      </c>
      <c r="AR129" s="187" t="str">
        <f t="shared" si="25"/>
        <v>藤中健太郎</v>
      </c>
      <c r="AS129" s="187" t="str">
        <f t="shared" si="26"/>
        <v>山田 玄英</v>
      </c>
      <c r="AT129" s="187" t="str">
        <f t="shared" si="28"/>
        <v>ORC</v>
      </c>
      <c r="AU129" s="187">
        <f aca="true" t="shared" si="42" ref="AU129:AU134">AU128</f>
        <v>3</v>
      </c>
      <c r="AV129" s="188">
        <v>4</v>
      </c>
    </row>
    <row r="130" spans="35:48" ht="24" customHeight="1">
      <c r="AI130" s="1">
        <v>129</v>
      </c>
      <c r="AN130" s="1">
        <v>129</v>
      </c>
      <c r="AO130" s="186">
        <f t="shared" si="41"/>
        <v>2</v>
      </c>
      <c r="AP130" s="187">
        <v>4</v>
      </c>
      <c r="AQ130" s="187" t="str">
        <f aca="true" t="shared" si="43" ref="AQ130:AQ193">VLOOKUP(AO130,$AZ$3:$BA$8,2,FALSE)</f>
        <v>HRC</v>
      </c>
      <c r="AR130" s="187" t="str">
        <f aca="true" t="shared" si="44" ref="AR130:AR193">VLOOKUP(VALUE(AO130&amp;AP130),$AE$2:$AG$55,3,FALSE)</f>
        <v>後藤 勇治</v>
      </c>
      <c r="AS130" s="187" t="str">
        <f aca="true" t="shared" si="45" ref="AS130:AS193">VLOOKUP(VALUE(AU130&amp;AV130),$AE$2:$AG$55,3,FALSE)</f>
        <v>由本　拓</v>
      </c>
      <c r="AT130" s="187" t="str">
        <f t="shared" si="28"/>
        <v>ORC</v>
      </c>
      <c r="AU130" s="187">
        <f t="shared" si="42"/>
        <v>3</v>
      </c>
      <c r="AV130" s="188">
        <v>5</v>
      </c>
    </row>
    <row r="131" spans="35:48" ht="24" customHeight="1">
      <c r="AI131" s="1">
        <v>130</v>
      </c>
      <c r="AN131" s="1">
        <v>130</v>
      </c>
      <c r="AO131" s="186">
        <f t="shared" si="41"/>
        <v>2</v>
      </c>
      <c r="AP131" s="187">
        <v>5</v>
      </c>
      <c r="AQ131" s="187" t="str">
        <f t="shared" si="43"/>
        <v>HRC</v>
      </c>
      <c r="AR131" s="187" t="str">
        <f t="shared" si="44"/>
        <v>丹羽 俊也</v>
      </c>
      <c r="AS131" s="187" t="str">
        <f t="shared" si="45"/>
        <v>田中 隆介</v>
      </c>
      <c r="AT131" s="187" t="str">
        <f aca="true" t="shared" si="46" ref="AT131:AT194">VLOOKUP(AU131,$AZ$3:$BA$8,2,FALSE)</f>
        <v>ORC</v>
      </c>
      <c r="AU131" s="187">
        <f t="shared" si="42"/>
        <v>3</v>
      </c>
      <c r="AV131" s="188">
        <v>6</v>
      </c>
    </row>
    <row r="132" spans="35:48" ht="24" customHeight="1">
      <c r="AI132" s="1">
        <v>131</v>
      </c>
      <c r="AN132" s="1">
        <v>131</v>
      </c>
      <c r="AO132" s="186">
        <f t="shared" si="41"/>
        <v>2</v>
      </c>
      <c r="AP132" s="187">
        <v>6</v>
      </c>
      <c r="AQ132" s="187" t="str">
        <f t="shared" si="43"/>
        <v>HRC</v>
      </c>
      <c r="AR132" s="187" t="str">
        <f t="shared" si="44"/>
        <v>平井 洸志</v>
      </c>
      <c r="AS132" s="187" t="str">
        <f t="shared" si="45"/>
        <v>西田 恵子</v>
      </c>
      <c r="AT132" s="187" t="str">
        <f t="shared" si="46"/>
        <v>ORC</v>
      </c>
      <c r="AU132" s="187">
        <f t="shared" si="42"/>
        <v>3</v>
      </c>
      <c r="AV132" s="188">
        <v>7</v>
      </c>
    </row>
    <row r="133" spans="35:48" ht="24" customHeight="1">
      <c r="AI133" s="1">
        <v>132</v>
      </c>
      <c r="AN133" s="1">
        <v>132</v>
      </c>
      <c r="AO133" s="186">
        <f t="shared" si="41"/>
        <v>2</v>
      </c>
      <c r="AP133" s="187">
        <v>7</v>
      </c>
      <c r="AQ133" s="187" t="str">
        <f t="shared" si="43"/>
        <v>HRC</v>
      </c>
      <c r="AR133" s="187" t="str">
        <f t="shared" si="44"/>
        <v>栃下 恭子</v>
      </c>
      <c r="AS133" s="187" t="str">
        <f t="shared" si="45"/>
        <v>村上 泰辰</v>
      </c>
      <c r="AT133" s="187" t="str">
        <f t="shared" si="46"/>
        <v>ORC</v>
      </c>
      <c r="AU133" s="187">
        <f t="shared" si="42"/>
        <v>3</v>
      </c>
      <c r="AV133" s="188">
        <v>1</v>
      </c>
    </row>
    <row r="134" spans="35:48" ht="24" customHeight="1">
      <c r="AI134" s="1">
        <v>133</v>
      </c>
      <c r="AN134" s="1">
        <v>133</v>
      </c>
      <c r="AO134" s="189">
        <f t="shared" si="41"/>
        <v>2</v>
      </c>
      <c r="AP134" s="190">
        <v>1</v>
      </c>
      <c r="AQ134" s="190" t="str">
        <f t="shared" si="43"/>
        <v>HRC</v>
      </c>
      <c r="AR134" s="190" t="str">
        <f t="shared" si="44"/>
        <v>堂園 雅也</v>
      </c>
      <c r="AS134" s="190" t="str">
        <f t="shared" si="45"/>
        <v>乾　伸綱</v>
      </c>
      <c r="AT134" s="190" t="str">
        <f t="shared" si="46"/>
        <v>ORC</v>
      </c>
      <c r="AU134" s="190">
        <f t="shared" si="42"/>
        <v>3</v>
      </c>
      <c r="AV134" s="191">
        <v>2</v>
      </c>
    </row>
    <row r="135" spans="35:48" ht="24" customHeight="1">
      <c r="AI135" s="1">
        <v>134</v>
      </c>
      <c r="AN135" s="1">
        <v>134</v>
      </c>
      <c r="AO135" s="183">
        <f>IF(AO1=5,1,6)</f>
        <v>6</v>
      </c>
      <c r="AP135" s="184">
        <v>6</v>
      </c>
      <c r="AQ135" s="184" t="str">
        <f t="shared" si="43"/>
        <v>WRC</v>
      </c>
      <c r="AR135" s="184" t="str">
        <f t="shared" si="44"/>
        <v>中本 雅大</v>
      </c>
      <c r="AS135" s="184" t="str">
        <f t="shared" si="45"/>
        <v>山田 普之</v>
      </c>
      <c r="AT135" s="184" t="str">
        <f t="shared" si="46"/>
        <v>NRC</v>
      </c>
      <c r="AU135" s="184">
        <f>IF(AO1=5,2,4)</f>
        <v>4</v>
      </c>
      <c r="AV135" s="185">
        <v>4</v>
      </c>
    </row>
    <row r="136" spans="35:48" ht="24" customHeight="1">
      <c r="AI136" s="1">
        <v>135</v>
      </c>
      <c r="AN136" s="1">
        <v>135</v>
      </c>
      <c r="AO136" s="186">
        <f aca="true" t="shared" si="47" ref="AO136:AO141">AO135</f>
        <v>6</v>
      </c>
      <c r="AP136" s="187">
        <v>7</v>
      </c>
      <c r="AQ136" s="187" t="str">
        <f t="shared" si="43"/>
        <v>WRC</v>
      </c>
      <c r="AR136" s="187" t="str">
        <f t="shared" si="44"/>
        <v>松房ゆかり</v>
      </c>
      <c r="AS136" s="187" t="str">
        <f t="shared" si="45"/>
        <v>山田 晃司</v>
      </c>
      <c r="AT136" s="187" t="str">
        <f t="shared" si="46"/>
        <v>NRC</v>
      </c>
      <c r="AU136" s="187">
        <f aca="true" t="shared" si="48" ref="AU136:AU141">AU135</f>
        <v>4</v>
      </c>
      <c r="AV136" s="188">
        <v>5</v>
      </c>
    </row>
    <row r="137" spans="35:48" ht="24" customHeight="1">
      <c r="AI137" s="1">
        <v>136</v>
      </c>
      <c r="AN137" s="1">
        <v>136</v>
      </c>
      <c r="AO137" s="186">
        <f t="shared" si="47"/>
        <v>6</v>
      </c>
      <c r="AP137" s="187">
        <v>1</v>
      </c>
      <c r="AQ137" s="187" t="str">
        <f t="shared" si="43"/>
        <v>WRC</v>
      </c>
      <c r="AR137" s="187" t="str">
        <f t="shared" si="44"/>
        <v>末岡　修</v>
      </c>
      <c r="AS137" s="187" t="str">
        <f t="shared" si="45"/>
        <v>長谷川 進</v>
      </c>
      <c r="AT137" s="187" t="str">
        <f t="shared" si="46"/>
        <v>NRC</v>
      </c>
      <c r="AU137" s="187">
        <f t="shared" si="48"/>
        <v>4</v>
      </c>
      <c r="AV137" s="188">
        <v>6</v>
      </c>
    </row>
    <row r="138" spans="35:48" ht="24" customHeight="1">
      <c r="AI138" s="1">
        <v>137</v>
      </c>
      <c r="AN138" s="1">
        <v>137</v>
      </c>
      <c r="AO138" s="186">
        <f t="shared" si="47"/>
        <v>6</v>
      </c>
      <c r="AP138" s="187">
        <v>2</v>
      </c>
      <c r="AQ138" s="187" t="str">
        <f t="shared" si="43"/>
        <v>WRC</v>
      </c>
      <c r="AR138" s="187" t="str">
        <f t="shared" si="44"/>
        <v>杉本 博章</v>
      </c>
      <c r="AS138" s="187" t="str">
        <f t="shared" si="45"/>
        <v>宮野 早織</v>
      </c>
      <c r="AT138" s="187" t="str">
        <f t="shared" si="46"/>
        <v>NRC</v>
      </c>
      <c r="AU138" s="187">
        <f t="shared" si="48"/>
        <v>4</v>
      </c>
      <c r="AV138" s="188">
        <v>7</v>
      </c>
    </row>
    <row r="139" spans="35:48" ht="24" customHeight="1">
      <c r="AI139" s="1">
        <v>138</v>
      </c>
      <c r="AN139" s="1">
        <v>138</v>
      </c>
      <c r="AO139" s="186">
        <f t="shared" si="47"/>
        <v>6</v>
      </c>
      <c r="AP139" s="187">
        <v>3</v>
      </c>
      <c r="AQ139" s="187" t="str">
        <f t="shared" si="43"/>
        <v>WRC</v>
      </c>
      <c r="AR139" s="187" t="str">
        <f t="shared" si="44"/>
        <v>丹次 力良</v>
      </c>
      <c r="AS139" s="187" t="str">
        <f t="shared" si="45"/>
        <v>白戸 玲人</v>
      </c>
      <c r="AT139" s="187" t="str">
        <f t="shared" si="46"/>
        <v>NRC</v>
      </c>
      <c r="AU139" s="187">
        <f t="shared" si="48"/>
        <v>4</v>
      </c>
      <c r="AV139" s="188">
        <v>1</v>
      </c>
    </row>
    <row r="140" spans="35:48" ht="24" customHeight="1">
      <c r="AI140" s="1">
        <v>139</v>
      </c>
      <c r="AN140" s="1">
        <v>139</v>
      </c>
      <c r="AO140" s="186">
        <f t="shared" si="47"/>
        <v>6</v>
      </c>
      <c r="AP140" s="187">
        <v>4</v>
      </c>
      <c r="AQ140" s="187" t="str">
        <f t="shared" si="43"/>
        <v>WRC</v>
      </c>
      <c r="AR140" s="187" t="str">
        <f t="shared" si="44"/>
        <v>芝先 泰生</v>
      </c>
      <c r="AS140" s="187" t="str">
        <f t="shared" si="45"/>
        <v>近藤 拓馬</v>
      </c>
      <c r="AT140" s="187" t="str">
        <f t="shared" si="46"/>
        <v>NRC</v>
      </c>
      <c r="AU140" s="187">
        <f t="shared" si="48"/>
        <v>4</v>
      </c>
      <c r="AV140" s="188">
        <v>2</v>
      </c>
    </row>
    <row r="141" spans="35:48" ht="24" customHeight="1">
      <c r="AI141" s="1">
        <v>140</v>
      </c>
      <c r="AN141" s="1">
        <v>140</v>
      </c>
      <c r="AO141" s="189">
        <f t="shared" si="47"/>
        <v>6</v>
      </c>
      <c r="AP141" s="190">
        <v>5</v>
      </c>
      <c r="AQ141" s="190" t="str">
        <f t="shared" si="43"/>
        <v>WRC</v>
      </c>
      <c r="AR141" s="190" t="str">
        <f t="shared" si="44"/>
        <v>岸上 賢一</v>
      </c>
      <c r="AS141" s="190" t="str">
        <f t="shared" si="45"/>
        <v>吉向 翔平</v>
      </c>
      <c r="AT141" s="190" t="str">
        <f t="shared" si="46"/>
        <v>NRC</v>
      </c>
      <c r="AU141" s="190">
        <f t="shared" si="48"/>
        <v>4</v>
      </c>
      <c r="AV141" s="191">
        <v>3</v>
      </c>
    </row>
    <row r="142" spans="35:48" ht="24" customHeight="1">
      <c r="AI142" s="1">
        <v>141</v>
      </c>
      <c r="AN142" s="1">
        <f>IF($AO$1=5,"",AN141+1)</f>
        <v>141</v>
      </c>
      <c r="AO142" s="183">
        <f>IF(AO1=5,"",1)</f>
        <v>1</v>
      </c>
      <c r="AP142" s="184">
        <v>1</v>
      </c>
      <c r="AQ142" s="184" t="str">
        <f t="shared" si="43"/>
        <v>KRC</v>
      </c>
      <c r="AR142" s="184" t="str">
        <f t="shared" si="44"/>
        <v>折戸 和幸</v>
      </c>
      <c r="AS142" s="184" t="str">
        <f t="shared" si="45"/>
        <v>高島 太一</v>
      </c>
      <c r="AT142" s="184" t="str">
        <f t="shared" si="46"/>
        <v>SBC</v>
      </c>
      <c r="AU142" s="184">
        <f>IF(AO1=5,"",5)</f>
        <v>5</v>
      </c>
      <c r="AV142" s="185">
        <v>5</v>
      </c>
    </row>
    <row r="143" spans="35:48" ht="24" customHeight="1">
      <c r="AI143" s="1">
        <v>142</v>
      </c>
      <c r="AN143" s="1">
        <f aca="true" t="shared" si="49" ref="AN143:AN206">IF($AO$1=5,"",AN142+1)</f>
        <v>142</v>
      </c>
      <c r="AO143" s="186">
        <f aca="true" t="shared" si="50" ref="AO143:AO148">AO142</f>
        <v>1</v>
      </c>
      <c r="AP143" s="187">
        <v>2</v>
      </c>
      <c r="AQ143" s="187" t="str">
        <f t="shared" si="43"/>
        <v>KRC</v>
      </c>
      <c r="AR143" s="187" t="str">
        <f t="shared" si="44"/>
        <v>今村 哲也</v>
      </c>
      <c r="AS143" s="187" t="str">
        <f t="shared" si="45"/>
        <v>須藤 浩章</v>
      </c>
      <c r="AT143" s="187" t="str">
        <f t="shared" si="46"/>
        <v>SBC</v>
      </c>
      <c r="AU143" s="187">
        <f aca="true" t="shared" si="51" ref="AU143:AU148">AU142</f>
        <v>5</v>
      </c>
      <c r="AV143" s="188">
        <v>6</v>
      </c>
    </row>
    <row r="144" spans="35:48" ht="24" customHeight="1">
      <c r="AI144" s="1">
        <v>143</v>
      </c>
      <c r="AN144" s="1">
        <f t="shared" si="49"/>
        <v>143</v>
      </c>
      <c r="AO144" s="186">
        <f t="shared" si="50"/>
        <v>1</v>
      </c>
      <c r="AP144" s="187">
        <v>3</v>
      </c>
      <c r="AQ144" s="187" t="str">
        <f t="shared" si="43"/>
        <v>KRC</v>
      </c>
      <c r="AR144" s="187" t="str">
        <f t="shared" si="44"/>
        <v>小山 久博</v>
      </c>
      <c r="AS144" s="187" t="str">
        <f t="shared" si="45"/>
        <v>酒井 美希</v>
      </c>
      <c r="AT144" s="187" t="str">
        <f t="shared" si="46"/>
        <v>SBC</v>
      </c>
      <c r="AU144" s="187">
        <f t="shared" si="51"/>
        <v>5</v>
      </c>
      <c r="AV144" s="188">
        <v>7</v>
      </c>
    </row>
    <row r="145" spans="35:48" ht="24" customHeight="1">
      <c r="AI145" s="1">
        <v>144</v>
      </c>
      <c r="AN145" s="1">
        <f t="shared" si="49"/>
        <v>144</v>
      </c>
      <c r="AO145" s="186">
        <f t="shared" si="50"/>
        <v>1</v>
      </c>
      <c r="AP145" s="187">
        <v>4</v>
      </c>
      <c r="AQ145" s="187" t="str">
        <f t="shared" si="43"/>
        <v>KRC</v>
      </c>
      <c r="AR145" s="187" t="str">
        <f t="shared" si="44"/>
        <v>伊庭 保久</v>
      </c>
      <c r="AS145" s="187" t="str">
        <f t="shared" si="45"/>
        <v>西峰 久祐</v>
      </c>
      <c r="AT145" s="187" t="str">
        <f t="shared" si="46"/>
        <v>SBC</v>
      </c>
      <c r="AU145" s="187">
        <f t="shared" si="51"/>
        <v>5</v>
      </c>
      <c r="AV145" s="188">
        <v>1</v>
      </c>
    </row>
    <row r="146" spans="35:48" ht="24" customHeight="1">
      <c r="AI146" s="1">
        <v>145</v>
      </c>
      <c r="AN146" s="1">
        <f t="shared" si="49"/>
        <v>145</v>
      </c>
      <c r="AO146" s="186">
        <f t="shared" si="50"/>
        <v>1</v>
      </c>
      <c r="AP146" s="187">
        <v>5</v>
      </c>
      <c r="AQ146" s="187" t="str">
        <f t="shared" si="43"/>
        <v>KRC</v>
      </c>
      <c r="AR146" s="187" t="str">
        <f t="shared" si="44"/>
        <v>菊池 靖正</v>
      </c>
      <c r="AS146" s="187" t="str">
        <f t="shared" si="45"/>
        <v>長田 智紀</v>
      </c>
      <c r="AT146" s="187" t="str">
        <f t="shared" si="46"/>
        <v>SBC</v>
      </c>
      <c r="AU146" s="187">
        <f t="shared" si="51"/>
        <v>5</v>
      </c>
      <c r="AV146" s="188">
        <v>2</v>
      </c>
    </row>
    <row r="147" spans="35:48" ht="24" customHeight="1">
      <c r="AI147" s="1">
        <v>146</v>
      </c>
      <c r="AN147" s="1">
        <f t="shared" si="49"/>
        <v>146</v>
      </c>
      <c r="AO147" s="186">
        <f t="shared" si="50"/>
        <v>1</v>
      </c>
      <c r="AP147" s="187">
        <v>6</v>
      </c>
      <c r="AQ147" s="187" t="str">
        <f t="shared" si="43"/>
        <v>KRC</v>
      </c>
      <c r="AR147" s="187" t="str">
        <f t="shared" si="44"/>
        <v>田附 裕次</v>
      </c>
      <c r="AS147" s="187" t="str">
        <f t="shared" si="45"/>
        <v>大橋 義治</v>
      </c>
      <c r="AT147" s="187" t="str">
        <f t="shared" si="46"/>
        <v>SBC</v>
      </c>
      <c r="AU147" s="187">
        <f t="shared" si="51"/>
        <v>5</v>
      </c>
      <c r="AV147" s="188">
        <v>3</v>
      </c>
    </row>
    <row r="148" spans="35:48" ht="24" customHeight="1">
      <c r="AI148" s="1">
        <v>147</v>
      </c>
      <c r="AN148" s="1">
        <f t="shared" si="49"/>
        <v>147</v>
      </c>
      <c r="AO148" s="189">
        <f t="shared" si="50"/>
        <v>1</v>
      </c>
      <c r="AP148" s="190">
        <v>7</v>
      </c>
      <c r="AQ148" s="190" t="str">
        <f t="shared" si="43"/>
        <v>KRC</v>
      </c>
      <c r="AR148" s="190" t="str">
        <f t="shared" si="44"/>
        <v>森田由佳里</v>
      </c>
      <c r="AS148" s="190" t="str">
        <f t="shared" si="45"/>
        <v>山中 康寛</v>
      </c>
      <c r="AT148" s="190" t="str">
        <f t="shared" si="46"/>
        <v>SBC</v>
      </c>
      <c r="AU148" s="190">
        <f t="shared" si="51"/>
        <v>5</v>
      </c>
      <c r="AV148" s="191">
        <v>4</v>
      </c>
    </row>
    <row r="149" spans="35:48" ht="24" customHeight="1">
      <c r="AI149" s="1">
        <v>148</v>
      </c>
      <c r="AN149" s="1">
        <f t="shared" si="49"/>
        <v>148</v>
      </c>
      <c r="AO149" s="183">
        <f>IF(AO1=5,"",6)</f>
        <v>6</v>
      </c>
      <c r="AP149" s="184">
        <v>6</v>
      </c>
      <c r="AQ149" s="184" t="str">
        <f t="shared" si="43"/>
        <v>WRC</v>
      </c>
      <c r="AR149" s="184" t="str">
        <f t="shared" si="44"/>
        <v>中本 雅大</v>
      </c>
      <c r="AS149" s="184" t="str">
        <f t="shared" si="45"/>
        <v>長井　充</v>
      </c>
      <c r="AT149" s="184" t="str">
        <f t="shared" si="46"/>
        <v>HRC</v>
      </c>
      <c r="AU149" s="184">
        <f>IF(AO1=5,"",2)</f>
        <v>2</v>
      </c>
      <c r="AV149" s="185">
        <v>2</v>
      </c>
    </row>
    <row r="150" spans="35:48" ht="24" customHeight="1">
      <c r="AI150" s="1">
        <v>149</v>
      </c>
      <c r="AN150" s="1">
        <f t="shared" si="49"/>
        <v>149</v>
      </c>
      <c r="AO150" s="186">
        <f aca="true" t="shared" si="52" ref="AO150:AO155">AO149</f>
        <v>6</v>
      </c>
      <c r="AP150" s="187">
        <v>7</v>
      </c>
      <c r="AQ150" s="187" t="str">
        <f t="shared" si="43"/>
        <v>WRC</v>
      </c>
      <c r="AR150" s="187" t="str">
        <f t="shared" si="44"/>
        <v>松房ゆかり</v>
      </c>
      <c r="AS150" s="187" t="str">
        <f t="shared" si="45"/>
        <v>藤中健太郎</v>
      </c>
      <c r="AT150" s="187" t="str">
        <f t="shared" si="46"/>
        <v>HRC</v>
      </c>
      <c r="AU150" s="187">
        <f aca="true" t="shared" si="53" ref="AU150:AU155">AU149</f>
        <v>2</v>
      </c>
      <c r="AV150" s="188">
        <v>3</v>
      </c>
    </row>
    <row r="151" spans="35:48" ht="24" customHeight="1">
      <c r="AI151" s="1">
        <v>150</v>
      </c>
      <c r="AN151" s="1">
        <f t="shared" si="49"/>
        <v>150</v>
      </c>
      <c r="AO151" s="186">
        <f t="shared" si="52"/>
        <v>6</v>
      </c>
      <c r="AP151" s="187">
        <v>1</v>
      </c>
      <c r="AQ151" s="187" t="str">
        <f t="shared" si="43"/>
        <v>WRC</v>
      </c>
      <c r="AR151" s="187" t="str">
        <f t="shared" si="44"/>
        <v>末岡　修</v>
      </c>
      <c r="AS151" s="187" t="str">
        <f t="shared" si="45"/>
        <v>後藤 勇治</v>
      </c>
      <c r="AT151" s="187" t="str">
        <f t="shared" si="46"/>
        <v>HRC</v>
      </c>
      <c r="AU151" s="187">
        <f t="shared" si="53"/>
        <v>2</v>
      </c>
      <c r="AV151" s="188">
        <v>4</v>
      </c>
    </row>
    <row r="152" spans="35:48" ht="24" customHeight="1">
      <c r="AI152" s="1">
        <v>151</v>
      </c>
      <c r="AN152" s="1">
        <f t="shared" si="49"/>
        <v>151</v>
      </c>
      <c r="AO152" s="186">
        <f t="shared" si="52"/>
        <v>6</v>
      </c>
      <c r="AP152" s="187">
        <v>2</v>
      </c>
      <c r="AQ152" s="187" t="str">
        <f t="shared" si="43"/>
        <v>WRC</v>
      </c>
      <c r="AR152" s="187" t="str">
        <f t="shared" si="44"/>
        <v>杉本 博章</v>
      </c>
      <c r="AS152" s="187" t="str">
        <f t="shared" si="45"/>
        <v>丹羽 俊也</v>
      </c>
      <c r="AT152" s="187" t="str">
        <f t="shared" si="46"/>
        <v>HRC</v>
      </c>
      <c r="AU152" s="187">
        <f t="shared" si="53"/>
        <v>2</v>
      </c>
      <c r="AV152" s="188">
        <v>5</v>
      </c>
    </row>
    <row r="153" spans="35:48" ht="24" customHeight="1">
      <c r="AI153" s="1">
        <v>152</v>
      </c>
      <c r="AN153" s="1">
        <f t="shared" si="49"/>
        <v>152</v>
      </c>
      <c r="AO153" s="186">
        <f t="shared" si="52"/>
        <v>6</v>
      </c>
      <c r="AP153" s="187">
        <v>3</v>
      </c>
      <c r="AQ153" s="187" t="str">
        <f t="shared" si="43"/>
        <v>WRC</v>
      </c>
      <c r="AR153" s="187" t="str">
        <f t="shared" si="44"/>
        <v>丹次 力良</v>
      </c>
      <c r="AS153" s="187" t="str">
        <f t="shared" si="45"/>
        <v>平井 洸志</v>
      </c>
      <c r="AT153" s="187" t="str">
        <f t="shared" si="46"/>
        <v>HRC</v>
      </c>
      <c r="AU153" s="187">
        <f t="shared" si="53"/>
        <v>2</v>
      </c>
      <c r="AV153" s="188">
        <v>6</v>
      </c>
    </row>
    <row r="154" spans="35:48" ht="24" customHeight="1">
      <c r="AI154" s="1">
        <v>153</v>
      </c>
      <c r="AN154" s="1">
        <f t="shared" si="49"/>
        <v>153</v>
      </c>
      <c r="AO154" s="186">
        <f t="shared" si="52"/>
        <v>6</v>
      </c>
      <c r="AP154" s="187">
        <v>4</v>
      </c>
      <c r="AQ154" s="187" t="str">
        <f t="shared" si="43"/>
        <v>WRC</v>
      </c>
      <c r="AR154" s="187" t="str">
        <f t="shared" si="44"/>
        <v>芝先 泰生</v>
      </c>
      <c r="AS154" s="187" t="str">
        <f t="shared" si="45"/>
        <v>栃下 恭子</v>
      </c>
      <c r="AT154" s="187" t="str">
        <f t="shared" si="46"/>
        <v>HRC</v>
      </c>
      <c r="AU154" s="187">
        <f t="shared" si="53"/>
        <v>2</v>
      </c>
      <c r="AV154" s="188">
        <v>7</v>
      </c>
    </row>
    <row r="155" spans="35:48" ht="24" customHeight="1">
      <c r="AI155" s="1">
        <v>154</v>
      </c>
      <c r="AN155" s="1">
        <f t="shared" si="49"/>
        <v>154</v>
      </c>
      <c r="AO155" s="189">
        <f t="shared" si="52"/>
        <v>6</v>
      </c>
      <c r="AP155" s="190">
        <v>5</v>
      </c>
      <c r="AQ155" s="190" t="str">
        <f t="shared" si="43"/>
        <v>WRC</v>
      </c>
      <c r="AR155" s="190" t="str">
        <f t="shared" si="44"/>
        <v>岸上 賢一</v>
      </c>
      <c r="AS155" s="190" t="str">
        <f t="shared" si="45"/>
        <v>堂園 雅也</v>
      </c>
      <c r="AT155" s="190" t="str">
        <f t="shared" si="46"/>
        <v>HRC</v>
      </c>
      <c r="AU155" s="190">
        <f t="shared" si="53"/>
        <v>2</v>
      </c>
      <c r="AV155" s="191">
        <v>1</v>
      </c>
    </row>
    <row r="156" spans="35:48" ht="24" customHeight="1">
      <c r="AI156" s="1">
        <v>155</v>
      </c>
      <c r="AN156" s="1">
        <f t="shared" si="49"/>
        <v>155</v>
      </c>
      <c r="AO156" s="183">
        <f>IF(AO1=5,"",5)</f>
        <v>5</v>
      </c>
      <c r="AP156" s="184">
        <v>5</v>
      </c>
      <c r="AQ156" s="184" t="str">
        <f t="shared" si="43"/>
        <v>SBC</v>
      </c>
      <c r="AR156" s="184" t="str">
        <f t="shared" si="44"/>
        <v>高島 太一</v>
      </c>
      <c r="AS156" s="184" t="str">
        <f t="shared" si="45"/>
        <v>吉岡 保俊</v>
      </c>
      <c r="AT156" s="184" t="str">
        <f t="shared" si="46"/>
        <v>ORC</v>
      </c>
      <c r="AU156" s="184">
        <f>IF(AO1=5,"",3)</f>
        <v>3</v>
      </c>
      <c r="AV156" s="185">
        <v>3</v>
      </c>
    </row>
    <row r="157" spans="35:48" ht="24" customHeight="1">
      <c r="AI157" s="1">
        <v>156</v>
      </c>
      <c r="AN157" s="1">
        <f t="shared" si="49"/>
        <v>156</v>
      </c>
      <c r="AO157" s="186">
        <f aca="true" t="shared" si="54" ref="AO157:AO162">AO156</f>
        <v>5</v>
      </c>
      <c r="AP157" s="187">
        <v>6</v>
      </c>
      <c r="AQ157" s="187" t="str">
        <f t="shared" si="43"/>
        <v>SBC</v>
      </c>
      <c r="AR157" s="187" t="str">
        <f t="shared" si="44"/>
        <v>須藤 浩章</v>
      </c>
      <c r="AS157" s="187" t="str">
        <f t="shared" si="45"/>
        <v>山田 玄英</v>
      </c>
      <c r="AT157" s="187" t="str">
        <f t="shared" si="46"/>
        <v>ORC</v>
      </c>
      <c r="AU157" s="187">
        <f aca="true" t="shared" si="55" ref="AU157:AU162">AU156</f>
        <v>3</v>
      </c>
      <c r="AV157" s="188">
        <v>4</v>
      </c>
    </row>
    <row r="158" spans="35:48" ht="24" customHeight="1">
      <c r="AI158" s="1">
        <v>157</v>
      </c>
      <c r="AN158" s="1">
        <f t="shared" si="49"/>
        <v>157</v>
      </c>
      <c r="AO158" s="186">
        <f t="shared" si="54"/>
        <v>5</v>
      </c>
      <c r="AP158" s="187">
        <v>7</v>
      </c>
      <c r="AQ158" s="187" t="str">
        <f t="shared" si="43"/>
        <v>SBC</v>
      </c>
      <c r="AR158" s="187" t="str">
        <f t="shared" si="44"/>
        <v>酒井 美希</v>
      </c>
      <c r="AS158" s="187" t="str">
        <f t="shared" si="45"/>
        <v>由本　拓</v>
      </c>
      <c r="AT158" s="187" t="str">
        <f t="shared" si="46"/>
        <v>ORC</v>
      </c>
      <c r="AU158" s="187">
        <f t="shared" si="55"/>
        <v>3</v>
      </c>
      <c r="AV158" s="188">
        <v>5</v>
      </c>
    </row>
    <row r="159" spans="35:48" ht="24" customHeight="1">
      <c r="AI159" s="1">
        <v>158</v>
      </c>
      <c r="AN159" s="1">
        <f t="shared" si="49"/>
        <v>158</v>
      </c>
      <c r="AO159" s="186">
        <f t="shared" si="54"/>
        <v>5</v>
      </c>
      <c r="AP159" s="187">
        <v>1</v>
      </c>
      <c r="AQ159" s="187" t="str">
        <f t="shared" si="43"/>
        <v>SBC</v>
      </c>
      <c r="AR159" s="187" t="str">
        <f t="shared" si="44"/>
        <v>西峰 久祐</v>
      </c>
      <c r="AS159" s="187" t="str">
        <f t="shared" si="45"/>
        <v>田中 隆介</v>
      </c>
      <c r="AT159" s="187" t="str">
        <f t="shared" si="46"/>
        <v>ORC</v>
      </c>
      <c r="AU159" s="187">
        <f t="shared" si="55"/>
        <v>3</v>
      </c>
      <c r="AV159" s="188">
        <v>6</v>
      </c>
    </row>
    <row r="160" spans="35:48" ht="24" customHeight="1">
      <c r="AI160" s="1">
        <v>159</v>
      </c>
      <c r="AN160" s="1">
        <f t="shared" si="49"/>
        <v>159</v>
      </c>
      <c r="AO160" s="186">
        <f t="shared" si="54"/>
        <v>5</v>
      </c>
      <c r="AP160" s="187">
        <v>2</v>
      </c>
      <c r="AQ160" s="187" t="str">
        <f t="shared" si="43"/>
        <v>SBC</v>
      </c>
      <c r="AR160" s="187" t="str">
        <f t="shared" si="44"/>
        <v>長田 智紀</v>
      </c>
      <c r="AS160" s="187" t="str">
        <f t="shared" si="45"/>
        <v>西田 恵子</v>
      </c>
      <c r="AT160" s="187" t="str">
        <f t="shared" si="46"/>
        <v>ORC</v>
      </c>
      <c r="AU160" s="187">
        <f t="shared" si="55"/>
        <v>3</v>
      </c>
      <c r="AV160" s="188">
        <v>7</v>
      </c>
    </row>
    <row r="161" spans="35:48" ht="24" customHeight="1">
      <c r="AI161" s="1">
        <v>160</v>
      </c>
      <c r="AN161" s="1">
        <f t="shared" si="49"/>
        <v>160</v>
      </c>
      <c r="AO161" s="186">
        <f t="shared" si="54"/>
        <v>5</v>
      </c>
      <c r="AP161" s="187">
        <v>3</v>
      </c>
      <c r="AQ161" s="187" t="str">
        <f t="shared" si="43"/>
        <v>SBC</v>
      </c>
      <c r="AR161" s="187" t="str">
        <f t="shared" si="44"/>
        <v>大橋 義治</v>
      </c>
      <c r="AS161" s="187" t="str">
        <f t="shared" si="45"/>
        <v>村上 泰辰</v>
      </c>
      <c r="AT161" s="187" t="str">
        <f t="shared" si="46"/>
        <v>ORC</v>
      </c>
      <c r="AU161" s="187">
        <f t="shared" si="55"/>
        <v>3</v>
      </c>
      <c r="AV161" s="188">
        <v>1</v>
      </c>
    </row>
    <row r="162" spans="35:48" ht="24" customHeight="1">
      <c r="AI162" s="1">
        <v>161</v>
      </c>
      <c r="AN162" s="1">
        <f t="shared" si="49"/>
        <v>161</v>
      </c>
      <c r="AO162" s="189">
        <f t="shared" si="54"/>
        <v>5</v>
      </c>
      <c r="AP162" s="190">
        <v>4</v>
      </c>
      <c r="AQ162" s="190" t="str">
        <f t="shared" si="43"/>
        <v>SBC</v>
      </c>
      <c r="AR162" s="190" t="str">
        <f t="shared" si="44"/>
        <v>山中 康寛</v>
      </c>
      <c r="AS162" s="190" t="str">
        <f t="shared" si="45"/>
        <v>乾　伸綱</v>
      </c>
      <c r="AT162" s="190" t="str">
        <f t="shared" si="46"/>
        <v>ORC</v>
      </c>
      <c r="AU162" s="190">
        <f t="shared" si="55"/>
        <v>3</v>
      </c>
      <c r="AV162" s="191">
        <v>2</v>
      </c>
    </row>
    <row r="163" spans="35:48" ht="24" customHeight="1">
      <c r="AI163" s="1">
        <v>162</v>
      </c>
      <c r="AN163" s="1">
        <f t="shared" si="49"/>
        <v>162</v>
      </c>
      <c r="AO163" s="183">
        <f>IF(AO1=5,"",1)</f>
        <v>1</v>
      </c>
      <c r="AP163" s="184">
        <v>1</v>
      </c>
      <c r="AQ163" s="184" t="str">
        <f t="shared" si="43"/>
        <v>KRC</v>
      </c>
      <c r="AR163" s="184" t="str">
        <f t="shared" si="44"/>
        <v>折戸 和幸</v>
      </c>
      <c r="AS163" s="184" t="str">
        <f t="shared" si="45"/>
        <v>山田 普之</v>
      </c>
      <c r="AT163" s="184" t="str">
        <f t="shared" si="46"/>
        <v>NRC</v>
      </c>
      <c r="AU163" s="184">
        <f>IF(AO1=5,"",4)</f>
        <v>4</v>
      </c>
      <c r="AV163" s="185">
        <v>4</v>
      </c>
    </row>
    <row r="164" spans="35:48" ht="24" customHeight="1">
      <c r="AI164" s="1">
        <v>163</v>
      </c>
      <c r="AN164" s="1">
        <f t="shared" si="49"/>
        <v>163</v>
      </c>
      <c r="AO164" s="186">
        <f aca="true" t="shared" si="56" ref="AO164:AO169">AO163</f>
        <v>1</v>
      </c>
      <c r="AP164" s="187">
        <v>2</v>
      </c>
      <c r="AQ164" s="187" t="str">
        <f t="shared" si="43"/>
        <v>KRC</v>
      </c>
      <c r="AR164" s="187" t="str">
        <f t="shared" si="44"/>
        <v>今村 哲也</v>
      </c>
      <c r="AS164" s="187" t="str">
        <f t="shared" si="45"/>
        <v>山田 晃司</v>
      </c>
      <c r="AT164" s="187" t="str">
        <f t="shared" si="46"/>
        <v>NRC</v>
      </c>
      <c r="AU164" s="187">
        <f aca="true" t="shared" si="57" ref="AU164:AU169">AU163</f>
        <v>4</v>
      </c>
      <c r="AV164" s="188">
        <v>5</v>
      </c>
    </row>
    <row r="165" spans="35:48" ht="24" customHeight="1">
      <c r="AI165" s="1">
        <v>164</v>
      </c>
      <c r="AN165" s="1">
        <f t="shared" si="49"/>
        <v>164</v>
      </c>
      <c r="AO165" s="186">
        <f t="shared" si="56"/>
        <v>1</v>
      </c>
      <c r="AP165" s="187">
        <v>3</v>
      </c>
      <c r="AQ165" s="187" t="str">
        <f t="shared" si="43"/>
        <v>KRC</v>
      </c>
      <c r="AR165" s="187" t="str">
        <f t="shared" si="44"/>
        <v>小山 久博</v>
      </c>
      <c r="AS165" s="187" t="str">
        <f t="shared" si="45"/>
        <v>長谷川 進</v>
      </c>
      <c r="AT165" s="187" t="str">
        <f t="shared" si="46"/>
        <v>NRC</v>
      </c>
      <c r="AU165" s="187">
        <f t="shared" si="57"/>
        <v>4</v>
      </c>
      <c r="AV165" s="188">
        <v>6</v>
      </c>
    </row>
    <row r="166" spans="35:48" ht="24" customHeight="1">
      <c r="AI166" s="1">
        <v>165</v>
      </c>
      <c r="AN166" s="1">
        <f t="shared" si="49"/>
        <v>165</v>
      </c>
      <c r="AO166" s="186">
        <f t="shared" si="56"/>
        <v>1</v>
      </c>
      <c r="AP166" s="187">
        <v>4</v>
      </c>
      <c r="AQ166" s="187" t="str">
        <f t="shared" si="43"/>
        <v>KRC</v>
      </c>
      <c r="AR166" s="187" t="str">
        <f t="shared" si="44"/>
        <v>伊庭 保久</v>
      </c>
      <c r="AS166" s="187" t="str">
        <f t="shared" si="45"/>
        <v>宮野 早織</v>
      </c>
      <c r="AT166" s="187" t="str">
        <f t="shared" si="46"/>
        <v>NRC</v>
      </c>
      <c r="AU166" s="187">
        <f t="shared" si="57"/>
        <v>4</v>
      </c>
      <c r="AV166" s="188">
        <v>7</v>
      </c>
    </row>
    <row r="167" spans="35:48" ht="24" customHeight="1">
      <c r="AI167" s="1">
        <v>166</v>
      </c>
      <c r="AN167" s="1">
        <f t="shared" si="49"/>
        <v>166</v>
      </c>
      <c r="AO167" s="186">
        <f t="shared" si="56"/>
        <v>1</v>
      </c>
      <c r="AP167" s="187">
        <v>5</v>
      </c>
      <c r="AQ167" s="187" t="str">
        <f t="shared" si="43"/>
        <v>KRC</v>
      </c>
      <c r="AR167" s="187" t="str">
        <f t="shared" si="44"/>
        <v>菊池 靖正</v>
      </c>
      <c r="AS167" s="187" t="str">
        <f t="shared" si="45"/>
        <v>白戸 玲人</v>
      </c>
      <c r="AT167" s="187" t="str">
        <f t="shared" si="46"/>
        <v>NRC</v>
      </c>
      <c r="AU167" s="187">
        <f t="shared" si="57"/>
        <v>4</v>
      </c>
      <c r="AV167" s="188">
        <v>1</v>
      </c>
    </row>
    <row r="168" spans="35:48" ht="24" customHeight="1">
      <c r="AI168" s="1">
        <v>167</v>
      </c>
      <c r="AN168" s="1">
        <f t="shared" si="49"/>
        <v>167</v>
      </c>
      <c r="AO168" s="186">
        <f t="shared" si="56"/>
        <v>1</v>
      </c>
      <c r="AP168" s="187">
        <v>6</v>
      </c>
      <c r="AQ168" s="187" t="str">
        <f t="shared" si="43"/>
        <v>KRC</v>
      </c>
      <c r="AR168" s="187" t="str">
        <f t="shared" si="44"/>
        <v>田附 裕次</v>
      </c>
      <c r="AS168" s="187" t="str">
        <f t="shared" si="45"/>
        <v>近藤 拓馬</v>
      </c>
      <c r="AT168" s="187" t="str">
        <f t="shared" si="46"/>
        <v>NRC</v>
      </c>
      <c r="AU168" s="187">
        <f t="shared" si="57"/>
        <v>4</v>
      </c>
      <c r="AV168" s="188">
        <v>2</v>
      </c>
    </row>
    <row r="169" spans="35:48" ht="24" customHeight="1">
      <c r="AI169" s="1">
        <v>168</v>
      </c>
      <c r="AN169" s="1">
        <f t="shared" si="49"/>
        <v>168</v>
      </c>
      <c r="AO169" s="189">
        <f t="shared" si="56"/>
        <v>1</v>
      </c>
      <c r="AP169" s="190">
        <v>7</v>
      </c>
      <c r="AQ169" s="190" t="str">
        <f t="shared" si="43"/>
        <v>KRC</v>
      </c>
      <c r="AR169" s="190" t="str">
        <f t="shared" si="44"/>
        <v>森田由佳里</v>
      </c>
      <c r="AS169" s="190" t="str">
        <f t="shared" si="45"/>
        <v>吉向 翔平</v>
      </c>
      <c r="AT169" s="190" t="str">
        <f t="shared" si="46"/>
        <v>NRC</v>
      </c>
      <c r="AU169" s="190">
        <f t="shared" si="57"/>
        <v>4</v>
      </c>
      <c r="AV169" s="191">
        <v>3</v>
      </c>
    </row>
    <row r="170" spans="35:48" ht="24" customHeight="1">
      <c r="AI170" s="1">
        <v>169</v>
      </c>
      <c r="AN170" s="1">
        <f t="shared" si="49"/>
        <v>169</v>
      </c>
      <c r="AO170" s="183">
        <f>IF(AO1=5,"",5)</f>
        <v>5</v>
      </c>
      <c r="AP170" s="184">
        <v>5</v>
      </c>
      <c r="AQ170" s="184" t="str">
        <f t="shared" si="43"/>
        <v>SBC</v>
      </c>
      <c r="AR170" s="184" t="str">
        <f t="shared" si="44"/>
        <v>高島 太一</v>
      </c>
      <c r="AS170" s="184" t="str">
        <f t="shared" si="45"/>
        <v>中本 雅大</v>
      </c>
      <c r="AT170" s="184" t="str">
        <f t="shared" si="46"/>
        <v>WRC</v>
      </c>
      <c r="AU170" s="184">
        <f>IF(AO1=5,"",6)</f>
        <v>6</v>
      </c>
      <c r="AV170" s="185">
        <v>6</v>
      </c>
    </row>
    <row r="171" spans="35:48" ht="24" customHeight="1">
      <c r="AI171" s="1">
        <v>170</v>
      </c>
      <c r="AN171" s="1">
        <f t="shared" si="49"/>
        <v>170</v>
      </c>
      <c r="AO171" s="186">
        <f aca="true" t="shared" si="58" ref="AO171:AO176">AO170</f>
        <v>5</v>
      </c>
      <c r="AP171" s="187">
        <v>6</v>
      </c>
      <c r="AQ171" s="187" t="str">
        <f t="shared" si="43"/>
        <v>SBC</v>
      </c>
      <c r="AR171" s="187" t="str">
        <f t="shared" si="44"/>
        <v>須藤 浩章</v>
      </c>
      <c r="AS171" s="187" t="str">
        <f t="shared" si="45"/>
        <v>松房ゆかり</v>
      </c>
      <c r="AT171" s="187" t="str">
        <f t="shared" si="46"/>
        <v>WRC</v>
      </c>
      <c r="AU171" s="187">
        <f aca="true" t="shared" si="59" ref="AU171:AU176">AU170</f>
        <v>6</v>
      </c>
      <c r="AV171" s="188">
        <v>7</v>
      </c>
    </row>
    <row r="172" spans="35:48" ht="24" customHeight="1">
      <c r="AI172" s="1">
        <v>171</v>
      </c>
      <c r="AN172" s="1">
        <f t="shared" si="49"/>
        <v>171</v>
      </c>
      <c r="AO172" s="186">
        <f t="shared" si="58"/>
        <v>5</v>
      </c>
      <c r="AP172" s="187">
        <v>7</v>
      </c>
      <c r="AQ172" s="187" t="str">
        <f t="shared" si="43"/>
        <v>SBC</v>
      </c>
      <c r="AR172" s="187" t="str">
        <f t="shared" si="44"/>
        <v>酒井 美希</v>
      </c>
      <c r="AS172" s="187" t="str">
        <f t="shared" si="45"/>
        <v>末岡　修</v>
      </c>
      <c r="AT172" s="187" t="str">
        <f t="shared" si="46"/>
        <v>WRC</v>
      </c>
      <c r="AU172" s="187">
        <f t="shared" si="59"/>
        <v>6</v>
      </c>
      <c r="AV172" s="188">
        <v>1</v>
      </c>
    </row>
    <row r="173" spans="35:48" ht="24" customHeight="1">
      <c r="AI173" s="1">
        <v>172</v>
      </c>
      <c r="AN173" s="1">
        <f t="shared" si="49"/>
        <v>172</v>
      </c>
      <c r="AO173" s="186">
        <f t="shared" si="58"/>
        <v>5</v>
      </c>
      <c r="AP173" s="187">
        <v>1</v>
      </c>
      <c r="AQ173" s="187" t="str">
        <f t="shared" si="43"/>
        <v>SBC</v>
      </c>
      <c r="AR173" s="187" t="str">
        <f t="shared" si="44"/>
        <v>西峰 久祐</v>
      </c>
      <c r="AS173" s="187" t="str">
        <f t="shared" si="45"/>
        <v>杉本 博章</v>
      </c>
      <c r="AT173" s="187" t="str">
        <f t="shared" si="46"/>
        <v>WRC</v>
      </c>
      <c r="AU173" s="187">
        <f t="shared" si="59"/>
        <v>6</v>
      </c>
      <c r="AV173" s="188">
        <v>2</v>
      </c>
    </row>
    <row r="174" spans="35:48" ht="24" customHeight="1">
      <c r="AI174" s="1">
        <v>173</v>
      </c>
      <c r="AN174" s="1">
        <f t="shared" si="49"/>
        <v>173</v>
      </c>
      <c r="AO174" s="186">
        <f t="shared" si="58"/>
        <v>5</v>
      </c>
      <c r="AP174" s="187">
        <v>2</v>
      </c>
      <c r="AQ174" s="187" t="str">
        <f t="shared" si="43"/>
        <v>SBC</v>
      </c>
      <c r="AR174" s="187" t="str">
        <f t="shared" si="44"/>
        <v>長田 智紀</v>
      </c>
      <c r="AS174" s="187" t="str">
        <f t="shared" si="45"/>
        <v>丹次 力良</v>
      </c>
      <c r="AT174" s="187" t="str">
        <f t="shared" si="46"/>
        <v>WRC</v>
      </c>
      <c r="AU174" s="187">
        <f t="shared" si="59"/>
        <v>6</v>
      </c>
      <c r="AV174" s="188">
        <v>3</v>
      </c>
    </row>
    <row r="175" spans="35:48" ht="24" customHeight="1">
      <c r="AI175" s="1">
        <v>174</v>
      </c>
      <c r="AN175" s="1">
        <f t="shared" si="49"/>
        <v>174</v>
      </c>
      <c r="AO175" s="186">
        <f t="shared" si="58"/>
        <v>5</v>
      </c>
      <c r="AP175" s="187">
        <v>3</v>
      </c>
      <c r="AQ175" s="187" t="str">
        <f t="shared" si="43"/>
        <v>SBC</v>
      </c>
      <c r="AR175" s="187" t="str">
        <f t="shared" si="44"/>
        <v>大橋 義治</v>
      </c>
      <c r="AS175" s="187" t="str">
        <f t="shared" si="45"/>
        <v>芝先 泰生</v>
      </c>
      <c r="AT175" s="187" t="str">
        <f t="shared" si="46"/>
        <v>WRC</v>
      </c>
      <c r="AU175" s="187">
        <f t="shared" si="59"/>
        <v>6</v>
      </c>
      <c r="AV175" s="188">
        <v>4</v>
      </c>
    </row>
    <row r="176" spans="35:48" ht="24" customHeight="1">
      <c r="AI176" s="1">
        <v>175</v>
      </c>
      <c r="AN176" s="1">
        <f t="shared" si="49"/>
        <v>175</v>
      </c>
      <c r="AO176" s="189">
        <f t="shared" si="58"/>
        <v>5</v>
      </c>
      <c r="AP176" s="190">
        <v>4</v>
      </c>
      <c r="AQ176" s="190" t="str">
        <f t="shared" si="43"/>
        <v>SBC</v>
      </c>
      <c r="AR176" s="190" t="str">
        <f t="shared" si="44"/>
        <v>山中 康寛</v>
      </c>
      <c r="AS176" s="190" t="str">
        <f t="shared" si="45"/>
        <v>岸上 賢一</v>
      </c>
      <c r="AT176" s="190" t="str">
        <f t="shared" si="46"/>
        <v>WRC</v>
      </c>
      <c r="AU176" s="190">
        <f t="shared" si="59"/>
        <v>6</v>
      </c>
      <c r="AV176" s="191">
        <v>5</v>
      </c>
    </row>
    <row r="177" spans="35:48" ht="24" customHeight="1">
      <c r="AI177" s="1">
        <v>176</v>
      </c>
      <c r="AN177" s="1">
        <f t="shared" si="49"/>
        <v>176</v>
      </c>
      <c r="AO177" s="183">
        <f>IF(AO1=5,"",4)</f>
        <v>4</v>
      </c>
      <c r="AP177" s="184">
        <v>4</v>
      </c>
      <c r="AQ177" s="184" t="str">
        <f t="shared" si="43"/>
        <v>NRC</v>
      </c>
      <c r="AR177" s="184" t="str">
        <f t="shared" si="44"/>
        <v>山田 普之</v>
      </c>
      <c r="AS177" s="184" t="str">
        <f t="shared" si="45"/>
        <v>長井　充</v>
      </c>
      <c r="AT177" s="184" t="str">
        <f t="shared" si="46"/>
        <v>HRC</v>
      </c>
      <c r="AU177" s="184">
        <f>IF(AO1=5,"",2)</f>
        <v>2</v>
      </c>
      <c r="AV177" s="185">
        <v>2</v>
      </c>
    </row>
    <row r="178" spans="35:48" ht="24" customHeight="1">
      <c r="AI178" s="1">
        <v>177</v>
      </c>
      <c r="AN178" s="1">
        <f t="shared" si="49"/>
        <v>177</v>
      </c>
      <c r="AO178" s="186">
        <f aca="true" t="shared" si="60" ref="AO178:AO183">AO177</f>
        <v>4</v>
      </c>
      <c r="AP178" s="187">
        <v>5</v>
      </c>
      <c r="AQ178" s="187" t="str">
        <f t="shared" si="43"/>
        <v>NRC</v>
      </c>
      <c r="AR178" s="187" t="str">
        <f t="shared" si="44"/>
        <v>山田 晃司</v>
      </c>
      <c r="AS178" s="187" t="str">
        <f t="shared" si="45"/>
        <v>藤中健太郎</v>
      </c>
      <c r="AT178" s="187" t="str">
        <f t="shared" si="46"/>
        <v>HRC</v>
      </c>
      <c r="AU178" s="187">
        <f aca="true" t="shared" si="61" ref="AU178:AU183">AU177</f>
        <v>2</v>
      </c>
      <c r="AV178" s="188">
        <v>3</v>
      </c>
    </row>
    <row r="179" spans="35:48" ht="24" customHeight="1">
      <c r="AI179" s="1">
        <v>178</v>
      </c>
      <c r="AN179" s="1">
        <f t="shared" si="49"/>
        <v>178</v>
      </c>
      <c r="AO179" s="186">
        <f t="shared" si="60"/>
        <v>4</v>
      </c>
      <c r="AP179" s="187">
        <v>6</v>
      </c>
      <c r="AQ179" s="187" t="str">
        <f t="shared" si="43"/>
        <v>NRC</v>
      </c>
      <c r="AR179" s="187" t="str">
        <f t="shared" si="44"/>
        <v>長谷川 進</v>
      </c>
      <c r="AS179" s="187" t="str">
        <f t="shared" si="45"/>
        <v>後藤 勇治</v>
      </c>
      <c r="AT179" s="187" t="str">
        <f t="shared" si="46"/>
        <v>HRC</v>
      </c>
      <c r="AU179" s="187">
        <f t="shared" si="61"/>
        <v>2</v>
      </c>
      <c r="AV179" s="188">
        <v>4</v>
      </c>
    </row>
    <row r="180" spans="35:48" ht="24" customHeight="1">
      <c r="AI180" s="1">
        <v>179</v>
      </c>
      <c r="AN180" s="1">
        <f t="shared" si="49"/>
        <v>179</v>
      </c>
      <c r="AO180" s="186">
        <f t="shared" si="60"/>
        <v>4</v>
      </c>
      <c r="AP180" s="187">
        <v>7</v>
      </c>
      <c r="AQ180" s="187" t="str">
        <f t="shared" si="43"/>
        <v>NRC</v>
      </c>
      <c r="AR180" s="187" t="str">
        <f t="shared" si="44"/>
        <v>宮野 早織</v>
      </c>
      <c r="AS180" s="187" t="str">
        <f t="shared" si="45"/>
        <v>丹羽 俊也</v>
      </c>
      <c r="AT180" s="187" t="str">
        <f t="shared" si="46"/>
        <v>HRC</v>
      </c>
      <c r="AU180" s="187">
        <f t="shared" si="61"/>
        <v>2</v>
      </c>
      <c r="AV180" s="188">
        <v>5</v>
      </c>
    </row>
    <row r="181" spans="35:48" ht="24" customHeight="1">
      <c r="AI181" s="1">
        <v>180</v>
      </c>
      <c r="AN181" s="1">
        <f t="shared" si="49"/>
        <v>180</v>
      </c>
      <c r="AO181" s="186">
        <f t="shared" si="60"/>
        <v>4</v>
      </c>
      <c r="AP181" s="187">
        <v>1</v>
      </c>
      <c r="AQ181" s="187" t="str">
        <f t="shared" si="43"/>
        <v>NRC</v>
      </c>
      <c r="AR181" s="187" t="str">
        <f t="shared" si="44"/>
        <v>白戸 玲人</v>
      </c>
      <c r="AS181" s="187" t="str">
        <f t="shared" si="45"/>
        <v>平井 洸志</v>
      </c>
      <c r="AT181" s="187" t="str">
        <f t="shared" si="46"/>
        <v>HRC</v>
      </c>
      <c r="AU181" s="187">
        <f t="shared" si="61"/>
        <v>2</v>
      </c>
      <c r="AV181" s="188">
        <v>6</v>
      </c>
    </row>
    <row r="182" spans="35:48" ht="24" customHeight="1">
      <c r="AI182" s="1">
        <v>181</v>
      </c>
      <c r="AN182" s="1">
        <f t="shared" si="49"/>
        <v>181</v>
      </c>
      <c r="AO182" s="186">
        <f t="shared" si="60"/>
        <v>4</v>
      </c>
      <c r="AP182" s="187">
        <v>2</v>
      </c>
      <c r="AQ182" s="187" t="str">
        <f t="shared" si="43"/>
        <v>NRC</v>
      </c>
      <c r="AR182" s="187" t="str">
        <f t="shared" si="44"/>
        <v>近藤 拓馬</v>
      </c>
      <c r="AS182" s="187" t="str">
        <f t="shared" si="45"/>
        <v>栃下 恭子</v>
      </c>
      <c r="AT182" s="187" t="str">
        <f t="shared" si="46"/>
        <v>HRC</v>
      </c>
      <c r="AU182" s="187">
        <f t="shared" si="61"/>
        <v>2</v>
      </c>
      <c r="AV182" s="188">
        <v>7</v>
      </c>
    </row>
    <row r="183" spans="35:48" ht="24" customHeight="1">
      <c r="AI183" s="1">
        <v>182</v>
      </c>
      <c r="AN183" s="1">
        <f t="shared" si="49"/>
        <v>182</v>
      </c>
      <c r="AO183" s="189">
        <f t="shared" si="60"/>
        <v>4</v>
      </c>
      <c r="AP183" s="190">
        <v>3</v>
      </c>
      <c r="AQ183" s="190" t="str">
        <f t="shared" si="43"/>
        <v>NRC</v>
      </c>
      <c r="AR183" s="190" t="str">
        <f t="shared" si="44"/>
        <v>吉向 翔平</v>
      </c>
      <c r="AS183" s="190" t="str">
        <f t="shared" si="45"/>
        <v>堂園 雅也</v>
      </c>
      <c r="AT183" s="190" t="str">
        <f t="shared" si="46"/>
        <v>HRC</v>
      </c>
      <c r="AU183" s="190">
        <f t="shared" si="61"/>
        <v>2</v>
      </c>
      <c r="AV183" s="191">
        <v>1</v>
      </c>
    </row>
    <row r="184" spans="35:48" ht="24" customHeight="1">
      <c r="AI184" s="1">
        <v>183</v>
      </c>
      <c r="AN184" s="1">
        <f t="shared" si="49"/>
        <v>183</v>
      </c>
      <c r="AO184" s="183">
        <f>IF(AO1=5,"",1)</f>
        <v>1</v>
      </c>
      <c r="AP184" s="184">
        <v>1</v>
      </c>
      <c r="AQ184" s="184" t="str">
        <f t="shared" si="43"/>
        <v>KRC</v>
      </c>
      <c r="AR184" s="184" t="str">
        <f t="shared" si="44"/>
        <v>折戸 和幸</v>
      </c>
      <c r="AS184" s="184" t="str">
        <f t="shared" si="45"/>
        <v>吉岡 保俊</v>
      </c>
      <c r="AT184" s="184" t="str">
        <f t="shared" si="46"/>
        <v>ORC</v>
      </c>
      <c r="AU184" s="184">
        <f>IF(AO1=5,"",3)</f>
        <v>3</v>
      </c>
      <c r="AV184" s="185">
        <v>3</v>
      </c>
    </row>
    <row r="185" spans="35:48" ht="24" customHeight="1">
      <c r="AI185" s="1">
        <v>184</v>
      </c>
      <c r="AN185" s="1">
        <f t="shared" si="49"/>
        <v>184</v>
      </c>
      <c r="AO185" s="186">
        <f aca="true" t="shared" si="62" ref="AO185:AO190">AO184</f>
        <v>1</v>
      </c>
      <c r="AP185" s="187">
        <v>2</v>
      </c>
      <c r="AQ185" s="187" t="str">
        <f t="shared" si="43"/>
        <v>KRC</v>
      </c>
      <c r="AR185" s="187" t="str">
        <f t="shared" si="44"/>
        <v>今村 哲也</v>
      </c>
      <c r="AS185" s="187" t="str">
        <f t="shared" si="45"/>
        <v>山田 玄英</v>
      </c>
      <c r="AT185" s="187" t="str">
        <f t="shared" si="46"/>
        <v>ORC</v>
      </c>
      <c r="AU185" s="187">
        <f aca="true" t="shared" si="63" ref="AU185:AU190">AU184</f>
        <v>3</v>
      </c>
      <c r="AV185" s="188">
        <v>4</v>
      </c>
    </row>
    <row r="186" spans="35:48" ht="24" customHeight="1">
      <c r="AI186" s="1">
        <v>185</v>
      </c>
      <c r="AN186" s="1">
        <f t="shared" si="49"/>
        <v>185</v>
      </c>
      <c r="AO186" s="186">
        <f t="shared" si="62"/>
        <v>1</v>
      </c>
      <c r="AP186" s="187">
        <v>3</v>
      </c>
      <c r="AQ186" s="187" t="str">
        <f t="shared" si="43"/>
        <v>KRC</v>
      </c>
      <c r="AR186" s="187" t="str">
        <f t="shared" si="44"/>
        <v>小山 久博</v>
      </c>
      <c r="AS186" s="187" t="str">
        <f t="shared" si="45"/>
        <v>由本　拓</v>
      </c>
      <c r="AT186" s="187" t="str">
        <f t="shared" si="46"/>
        <v>ORC</v>
      </c>
      <c r="AU186" s="187">
        <f t="shared" si="63"/>
        <v>3</v>
      </c>
      <c r="AV186" s="188">
        <v>5</v>
      </c>
    </row>
    <row r="187" spans="35:48" ht="24" customHeight="1">
      <c r="AI187" s="1">
        <v>186</v>
      </c>
      <c r="AN187" s="1">
        <f t="shared" si="49"/>
        <v>186</v>
      </c>
      <c r="AO187" s="186">
        <f t="shared" si="62"/>
        <v>1</v>
      </c>
      <c r="AP187" s="187">
        <v>4</v>
      </c>
      <c r="AQ187" s="187" t="str">
        <f t="shared" si="43"/>
        <v>KRC</v>
      </c>
      <c r="AR187" s="187" t="str">
        <f t="shared" si="44"/>
        <v>伊庭 保久</v>
      </c>
      <c r="AS187" s="187" t="str">
        <f t="shared" si="45"/>
        <v>田中 隆介</v>
      </c>
      <c r="AT187" s="187" t="str">
        <f t="shared" si="46"/>
        <v>ORC</v>
      </c>
      <c r="AU187" s="187">
        <f t="shared" si="63"/>
        <v>3</v>
      </c>
      <c r="AV187" s="188">
        <v>6</v>
      </c>
    </row>
    <row r="188" spans="35:48" ht="24" customHeight="1">
      <c r="AI188" s="1">
        <v>187</v>
      </c>
      <c r="AN188" s="1">
        <f t="shared" si="49"/>
        <v>187</v>
      </c>
      <c r="AO188" s="186">
        <f t="shared" si="62"/>
        <v>1</v>
      </c>
      <c r="AP188" s="187">
        <v>5</v>
      </c>
      <c r="AQ188" s="187" t="str">
        <f t="shared" si="43"/>
        <v>KRC</v>
      </c>
      <c r="AR188" s="187" t="str">
        <f t="shared" si="44"/>
        <v>菊池 靖正</v>
      </c>
      <c r="AS188" s="187" t="str">
        <f t="shared" si="45"/>
        <v>西田 恵子</v>
      </c>
      <c r="AT188" s="187" t="str">
        <f t="shared" si="46"/>
        <v>ORC</v>
      </c>
      <c r="AU188" s="187">
        <f t="shared" si="63"/>
        <v>3</v>
      </c>
      <c r="AV188" s="188">
        <v>7</v>
      </c>
    </row>
    <row r="189" spans="35:48" ht="24" customHeight="1">
      <c r="AI189" s="1">
        <v>188</v>
      </c>
      <c r="AN189" s="1">
        <f t="shared" si="49"/>
        <v>188</v>
      </c>
      <c r="AO189" s="186">
        <f t="shared" si="62"/>
        <v>1</v>
      </c>
      <c r="AP189" s="187">
        <v>6</v>
      </c>
      <c r="AQ189" s="187" t="str">
        <f t="shared" si="43"/>
        <v>KRC</v>
      </c>
      <c r="AR189" s="187" t="str">
        <f t="shared" si="44"/>
        <v>田附 裕次</v>
      </c>
      <c r="AS189" s="187" t="str">
        <f t="shared" si="45"/>
        <v>村上 泰辰</v>
      </c>
      <c r="AT189" s="187" t="str">
        <f t="shared" si="46"/>
        <v>ORC</v>
      </c>
      <c r="AU189" s="187">
        <f t="shared" si="63"/>
        <v>3</v>
      </c>
      <c r="AV189" s="188">
        <v>1</v>
      </c>
    </row>
    <row r="190" spans="35:48" ht="24" customHeight="1">
      <c r="AI190" s="1">
        <v>189</v>
      </c>
      <c r="AN190" s="1">
        <f t="shared" si="49"/>
        <v>189</v>
      </c>
      <c r="AO190" s="189">
        <f t="shared" si="62"/>
        <v>1</v>
      </c>
      <c r="AP190" s="190">
        <v>7</v>
      </c>
      <c r="AQ190" s="190" t="str">
        <f t="shared" si="43"/>
        <v>KRC</v>
      </c>
      <c r="AR190" s="190" t="str">
        <f t="shared" si="44"/>
        <v>森田由佳里</v>
      </c>
      <c r="AS190" s="190" t="str">
        <f t="shared" si="45"/>
        <v>乾　伸綱</v>
      </c>
      <c r="AT190" s="190" t="str">
        <f t="shared" si="46"/>
        <v>ORC</v>
      </c>
      <c r="AU190" s="190">
        <f t="shared" si="63"/>
        <v>3</v>
      </c>
      <c r="AV190" s="191">
        <v>2</v>
      </c>
    </row>
    <row r="191" spans="35:48" ht="24" customHeight="1">
      <c r="AI191" s="1">
        <v>190</v>
      </c>
      <c r="AN191" s="1">
        <f t="shared" si="49"/>
        <v>190</v>
      </c>
      <c r="AO191" s="183">
        <f>IF(AO1=5,"",4)</f>
        <v>4</v>
      </c>
      <c r="AP191" s="184">
        <v>4</v>
      </c>
      <c r="AQ191" s="184" t="str">
        <f t="shared" si="43"/>
        <v>NRC</v>
      </c>
      <c r="AR191" s="184" t="str">
        <f t="shared" si="44"/>
        <v>山田 普之</v>
      </c>
      <c r="AS191" s="184" t="str">
        <f t="shared" si="45"/>
        <v>高島 太一</v>
      </c>
      <c r="AT191" s="184" t="str">
        <f t="shared" si="46"/>
        <v>SBC</v>
      </c>
      <c r="AU191" s="184">
        <f>IF(AO1=5,"",5)</f>
        <v>5</v>
      </c>
      <c r="AV191" s="185">
        <v>5</v>
      </c>
    </row>
    <row r="192" spans="35:48" ht="24" customHeight="1">
      <c r="AI192" s="1">
        <v>191</v>
      </c>
      <c r="AN192" s="1">
        <f t="shared" si="49"/>
        <v>191</v>
      </c>
      <c r="AO192" s="186">
        <f aca="true" t="shared" si="64" ref="AO192:AO197">AO191</f>
        <v>4</v>
      </c>
      <c r="AP192" s="187">
        <v>5</v>
      </c>
      <c r="AQ192" s="187" t="str">
        <f t="shared" si="43"/>
        <v>NRC</v>
      </c>
      <c r="AR192" s="187" t="str">
        <f t="shared" si="44"/>
        <v>山田 晃司</v>
      </c>
      <c r="AS192" s="187" t="str">
        <f t="shared" si="45"/>
        <v>須藤 浩章</v>
      </c>
      <c r="AT192" s="187" t="str">
        <f t="shared" si="46"/>
        <v>SBC</v>
      </c>
      <c r="AU192" s="187">
        <f aca="true" t="shared" si="65" ref="AU192:AU197">AU191</f>
        <v>5</v>
      </c>
      <c r="AV192" s="188">
        <v>6</v>
      </c>
    </row>
    <row r="193" spans="35:48" ht="24" customHeight="1">
      <c r="AI193" s="1">
        <v>192</v>
      </c>
      <c r="AN193" s="1">
        <f t="shared" si="49"/>
        <v>192</v>
      </c>
      <c r="AO193" s="186">
        <f t="shared" si="64"/>
        <v>4</v>
      </c>
      <c r="AP193" s="187">
        <v>6</v>
      </c>
      <c r="AQ193" s="187" t="str">
        <f t="shared" si="43"/>
        <v>NRC</v>
      </c>
      <c r="AR193" s="187" t="str">
        <f t="shared" si="44"/>
        <v>長谷川 進</v>
      </c>
      <c r="AS193" s="187" t="str">
        <f t="shared" si="45"/>
        <v>酒井 美希</v>
      </c>
      <c r="AT193" s="187" t="str">
        <f t="shared" si="46"/>
        <v>SBC</v>
      </c>
      <c r="AU193" s="187">
        <f t="shared" si="65"/>
        <v>5</v>
      </c>
      <c r="AV193" s="188">
        <v>7</v>
      </c>
    </row>
    <row r="194" spans="35:48" ht="24" customHeight="1">
      <c r="AI194" s="1">
        <v>193</v>
      </c>
      <c r="AN194" s="1">
        <f t="shared" si="49"/>
        <v>193</v>
      </c>
      <c r="AO194" s="186">
        <f t="shared" si="64"/>
        <v>4</v>
      </c>
      <c r="AP194" s="187">
        <v>7</v>
      </c>
      <c r="AQ194" s="187" t="str">
        <f aca="true" t="shared" si="66" ref="AQ194:AQ211">VLOOKUP(AO194,$AZ$3:$BA$8,2,FALSE)</f>
        <v>NRC</v>
      </c>
      <c r="AR194" s="187" t="str">
        <f aca="true" t="shared" si="67" ref="AR194:AR211">VLOOKUP(VALUE(AO194&amp;AP194),$AE$2:$AG$55,3,FALSE)</f>
        <v>宮野 早織</v>
      </c>
      <c r="AS194" s="187" t="str">
        <f aca="true" t="shared" si="68" ref="AS194:AS211">VLOOKUP(VALUE(AU194&amp;AV194),$AE$2:$AG$55,3,FALSE)</f>
        <v>西峰 久祐</v>
      </c>
      <c r="AT194" s="187" t="str">
        <f t="shared" si="46"/>
        <v>SBC</v>
      </c>
      <c r="AU194" s="187">
        <f t="shared" si="65"/>
        <v>5</v>
      </c>
      <c r="AV194" s="188">
        <v>1</v>
      </c>
    </row>
    <row r="195" spans="35:48" ht="24" customHeight="1">
      <c r="AI195" s="1">
        <v>194</v>
      </c>
      <c r="AN195" s="1">
        <f t="shared" si="49"/>
        <v>194</v>
      </c>
      <c r="AO195" s="186">
        <f t="shared" si="64"/>
        <v>4</v>
      </c>
      <c r="AP195" s="187">
        <v>1</v>
      </c>
      <c r="AQ195" s="187" t="str">
        <f t="shared" si="66"/>
        <v>NRC</v>
      </c>
      <c r="AR195" s="187" t="str">
        <f t="shared" si="67"/>
        <v>白戸 玲人</v>
      </c>
      <c r="AS195" s="187" t="str">
        <f t="shared" si="68"/>
        <v>長田 智紀</v>
      </c>
      <c r="AT195" s="187" t="str">
        <f aca="true" t="shared" si="69" ref="AT195:AT211">VLOOKUP(AU195,$AZ$3:$BA$8,2,FALSE)</f>
        <v>SBC</v>
      </c>
      <c r="AU195" s="187">
        <f t="shared" si="65"/>
        <v>5</v>
      </c>
      <c r="AV195" s="188">
        <v>2</v>
      </c>
    </row>
    <row r="196" spans="35:48" ht="24" customHeight="1">
      <c r="AI196" s="1">
        <v>195</v>
      </c>
      <c r="AN196" s="1">
        <f t="shared" si="49"/>
        <v>195</v>
      </c>
      <c r="AO196" s="186">
        <f t="shared" si="64"/>
        <v>4</v>
      </c>
      <c r="AP196" s="187">
        <v>2</v>
      </c>
      <c r="AQ196" s="187" t="str">
        <f t="shared" si="66"/>
        <v>NRC</v>
      </c>
      <c r="AR196" s="187" t="str">
        <f t="shared" si="67"/>
        <v>近藤 拓馬</v>
      </c>
      <c r="AS196" s="187" t="str">
        <f t="shared" si="68"/>
        <v>大橋 義治</v>
      </c>
      <c r="AT196" s="187" t="str">
        <f t="shared" si="69"/>
        <v>SBC</v>
      </c>
      <c r="AU196" s="187">
        <f t="shared" si="65"/>
        <v>5</v>
      </c>
      <c r="AV196" s="188">
        <v>3</v>
      </c>
    </row>
    <row r="197" spans="35:48" ht="24" customHeight="1">
      <c r="AI197" s="1">
        <v>196</v>
      </c>
      <c r="AN197" s="1">
        <f t="shared" si="49"/>
        <v>196</v>
      </c>
      <c r="AO197" s="189">
        <f t="shared" si="64"/>
        <v>4</v>
      </c>
      <c r="AP197" s="190">
        <v>3</v>
      </c>
      <c r="AQ197" s="190" t="str">
        <f t="shared" si="66"/>
        <v>NRC</v>
      </c>
      <c r="AR197" s="190" t="str">
        <f t="shared" si="67"/>
        <v>吉向 翔平</v>
      </c>
      <c r="AS197" s="190" t="str">
        <f t="shared" si="68"/>
        <v>山中 康寛</v>
      </c>
      <c r="AT197" s="190" t="str">
        <f t="shared" si="69"/>
        <v>SBC</v>
      </c>
      <c r="AU197" s="190">
        <f t="shared" si="65"/>
        <v>5</v>
      </c>
      <c r="AV197" s="191">
        <v>4</v>
      </c>
    </row>
    <row r="198" spans="35:48" ht="24" customHeight="1">
      <c r="AI198" s="1">
        <v>197</v>
      </c>
      <c r="AN198" s="1">
        <f t="shared" si="49"/>
        <v>197</v>
      </c>
      <c r="AO198" s="183">
        <f>IF(AO1=5,"",3)</f>
        <v>3</v>
      </c>
      <c r="AP198" s="184">
        <v>3</v>
      </c>
      <c r="AQ198" s="184" t="str">
        <f t="shared" si="66"/>
        <v>ORC</v>
      </c>
      <c r="AR198" s="184" t="str">
        <f t="shared" si="67"/>
        <v>吉岡 保俊</v>
      </c>
      <c r="AS198" s="184" t="str">
        <f t="shared" si="68"/>
        <v>中本 雅大</v>
      </c>
      <c r="AT198" s="184" t="str">
        <f t="shared" si="69"/>
        <v>WRC</v>
      </c>
      <c r="AU198" s="184">
        <f>IF(AO1=5,"",6)</f>
        <v>6</v>
      </c>
      <c r="AV198" s="185">
        <v>6</v>
      </c>
    </row>
    <row r="199" spans="35:48" ht="24" customHeight="1">
      <c r="AI199" s="1">
        <v>198</v>
      </c>
      <c r="AN199" s="1">
        <f t="shared" si="49"/>
        <v>198</v>
      </c>
      <c r="AO199" s="186">
        <f aca="true" t="shared" si="70" ref="AO199:AO204">AO198</f>
        <v>3</v>
      </c>
      <c r="AP199" s="187">
        <v>4</v>
      </c>
      <c r="AQ199" s="187" t="str">
        <f t="shared" si="66"/>
        <v>ORC</v>
      </c>
      <c r="AR199" s="187" t="str">
        <f t="shared" si="67"/>
        <v>山田 玄英</v>
      </c>
      <c r="AS199" s="187" t="str">
        <f t="shared" si="68"/>
        <v>松房ゆかり</v>
      </c>
      <c r="AT199" s="187" t="str">
        <f t="shared" si="69"/>
        <v>WRC</v>
      </c>
      <c r="AU199" s="187">
        <f aca="true" t="shared" si="71" ref="AU199:AU204">AU198</f>
        <v>6</v>
      </c>
      <c r="AV199" s="188">
        <v>7</v>
      </c>
    </row>
    <row r="200" spans="35:48" ht="24" customHeight="1">
      <c r="AI200" s="1">
        <v>199</v>
      </c>
      <c r="AN200" s="1">
        <f t="shared" si="49"/>
        <v>199</v>
      </c>
      <c r="AO200" s="186">
        <f t="shared" si="70"/>
        <v>3</v>
      </c>
      <c r="AP200" s="187">
        <v>5</v>
      </c>
      <c r="AQ200" s="187" t="str">
        <f t="shared" si="66"/>
        <v>ORC</v>
      </c>
      <c r="AR200" s="187" t="str">
        <f t="shared" si="67"/>
        <v>由本　拓</v>
      </c>
      <c r="AS200" s="187" t="str">
        <f t="shared" si="68"/>
        <v>末岡　修</v>
      </c>
      <c r="AT200" s="187" t="str">
        <f t="shared" si="69"/>
        <v>WRC</v>
      </c>
      <c r="AU200" s="187">
        <f t="shared" si="71"/>
        <v>6</v>
      </c>
      <c r="AV200" s="188">
        <v>1</v>
      </c>
    </row>
    <row r="201" spans="35:48" ht="24" customHeight="1">
      <c r="AI201" s="1">
        <v>200</v>
      </c>
      <c r="AN201" s="1">
        <f t="shared" si="49"/>
        <v>200</v>
      </c>
      <c r="AO201" s="186">
        <f t="shared" si="70"/>
        <v>3</v>
      </c>
      <c r="AP201" s="187">
        <v>6</v>
      </c>
      <c r="AQ201" s="187" t="str">
        <f t="shared" si="66"/>
        <v>ORC</v>
      </c>
      <c r="AR201" s="187" t="str">
        <f t="shared" si="67"/>
        <v>田中 隆介</v>
      </c>
      <c r="AS201" s="187" t="str">
        <f t="shared" si="68"/>
        <v>杉本 博章</v>
      </c>
      <c r="AT201" s="187" t="str">
        <f t="shared" si="69"/>
        <v>WRC</v>
      </c>
      <c r="AU201" s="187">
        <f t="shared" si="71"/>
        <v>6</v>
      </c>
      <c r="AV201" s="188">
        <v>2</v>
      </c>
    </row>
    <row r="202" spans="35:48" ht="24" customHeight="1">
      <c r="AI202" s="1">
        <v>201</v>
      </c>
      <c r="AN202" s="1">
        <f t="shared" si="49"/>
        <v>201</v>
      </c>
      <c r="AO202" s="186">
        <f t="shared" si="70"/>
        <v>3</v>
      </c>
      <c r="AP202" s="187">
        <v>7</v>
      </c>
      <c r="AQ202" s="187" t="str">
        <f t="shared" si="66"/>
        <v>ORC</v>
      </c>
      <c r="AR202" s="187" t="str">
        <f t="shared" si="67"/>
        <v>西田 恵子</v>
      </c>
      <c r="AS202" s="187" t="str">
        <f t="shared" si="68"/>
        <v>丹次 力良</v>
      </c>
      <c r="AT202" s="187" t="str">
        <f t="shared" si="69"/>
        <v>WRC</v>
      </c>
      <c r="AU202" s="187">
        <f t="shared" si="71"/>
        <v>6</v>
      </c>
      <c r="AV202" s="188">
        <v>3</v>
      </c>
    </row>
    <row r="203" spans="35:48" ht="24" customHeight="1">
      <c r="AI203" s="1">
        <v>202</v>
      </c>
      <c r="AN203" s="1">
        <f t="shared" si="49"/>
        <v>202</v>
      </c>
      <c r="AO203" s="186">
        <f t="shared" si="70"/>
        <v>3</v>
      </c>
      <c r="AP203" s="187">
        <v>1</v>
      </c>
      <c r="AQ203" s="187" t="str">
        <f t="shared" si="66"/>
        <v>ORC</v>
      </c>
      <c r="AR203" s="187" t="str">
        <f t="shared" si="67"/>
        <v>村上 泰辰</v>
      </c>
      <c r="AS203" s="187" t="str">
        <f t="shared" si="68"/>
        <v>芝先 泰生</v>
      </c>
      <c r="AT203" s="187" t="str">
        <f t="shared" si="69"/>
        <v>WRC</v>
      </c>
      <c r="AU203" s="187">
        <f t="shared" si="71"/>
        <v>6</v>
      </c>
      <c r="AV203" s="188">
        <v>4</v>
      </c>
    </row>
    <row r="204" spans="35:48" ht="24" customHeight="1">
      <c r="AI204" s="1">
        <v>203</v>
      </c>
      <c r="AN204" s="1">
        <f t="shared" si="49"/>
        <v>203</v>
      </c>
      <c r="AO204" s="189">
        <f t="shared" si="70"/>
        <v>3</v>
      </c>
      <c r="AP204" s="190">
        <v>2</v>
      </c>
      <c r="AQ204" s="190" t="str">
        <f t="shared" si="66"/>
        <v>ORC</v>
      </c>
      <c r="AR204" s="190" t="str">
        <f t="shared" si="67"/>
        <v>乾　伸綱</v>
      </c>
      <c r="AS204" s="190" t="str">
        <f t="shared" si="68"/>
        <v>岸上 賢一</v>
      </c>
      <c r="AT204" s="190" t="str">
        <f t="shared" si="69"/>
        <v>WRC</v>
      </c>
      <c r="AU204" s="190">
        <f t="shared" si="71"/>
        <v>6</v>
      </c>
      <c r="AV204" s="191">
        <v>5</v>
      </c>
    </row>
    <row r="205" spans="35:48" ht="24" customHeight="1">
      <c r="AI205" s="1">
        <v>204</v>
      </c>
      <c r="AN205" s="1">
        <f t="shared" si="49"/>
        <v>204</v>
      </c>
      <c r="AO205" s="183">
        <f>IF(AO1=5,"",1)</f>
        <v>1</v>
      </c>
      <c r="AP205" s="184">
        <v>1</v>
      </c>
      <c r="AQ205" s="184" t="str">
        <f t="shared" si="66"/>
        <v>KRC</v>
      </c>
      <c r="AR205" s="184" t="str">
        <f t="shared" si="67"/>
        <v>折戸 和幸</v>
      </c>
      <c r="AS205" s="184" t="str">
        <f t="shared" si="68"/>
        <v>長井　充</v>
      </c>
      <c r="AT205" s="184" t="str">
        <f t="shared" si="69"/>
        <v>HRC</v>
      </c>
      <c r="AU205" s="184">
        <f>IF(AO1=5,"",2)</f>
        <v>2</v>
      </c>
      <c r="AV205" s="185">
        <v>2</v>
      </c>
    </row>
    <row r="206" spans="35:48" ht="24" customHeight="1">
      <c r="AI206" s="1">
        <v>205</v>
      </c>
      <c r="AN206" s="1">
        <f t="shared" si="49"/>
        <v>205</v>
      </c>
      <c r="AO206" s="186">
        <f aca="true" t="shared" si="72" ref="AO206:AO211">AO205</f>
        <v>1</v>
      </c>
      <c r="AP206" s="187">
        <v>2</v>
      </c>
      <c r="AQ206" s="187" t="str">
        <f t="shared" si="66"/>
        <v>KRC</v>
      </c>
      <c r="AR206" s="187" t="str">
        <f t="shared" si="67"/>
        <v>今村 哲也</v>
      </c>
      <c r="AS206" s="187" t="str">
        <f t="shared" si="68"/>
        <v>藤中健太郎</v>
      </c>
      <c r="AT206" s="187" t="str">
        <f t="shared" si="69"/>
        <v>HRC</v>
      </c>
      <c r="AU206" s="187">
        <f aca="true" t="shared" si="73" ref="AU206:AU211">AU205</f>
        <v>2</v>
      </c>
      <c r="AV206" s="188">
        <v>3</v>
      </c>
    </row>
    <row r="207" spans="35:48" ht="24" customHeight="1">
      <c r="AI207" s="1">
        <v>206</v>
      </c>
      <c r="AN207" s="1">
        <f>IF($AO$1=5,"",AN206+1)</f>
        <v>206</v>
      </c>
      <c r="AO207" s="186">
        <f t="shared" si="72"/>
        <v>1</v>
      </c>
      <c r="AP207" s="187">
        <v>3</v>
      </c>
      <c r="AQ207" s="187" t="str">
        <f t="shared" si="66"/>
        <v>KRC</v>
      </c>
      <c r="AR207" s="187" t="str">
        <f t="shared" si="67"/>
        <v>小山 久博</v>
      </c>
      <c r="AS207" s="187" t="str">
        <f t="shared" si="68"/>
        <v>後藤 勇治</v>
      </c>
      <c r="AT207" s="187" t="str">
        <f t="shared" si="69"/>
        <v>HRC</v>
      </c>
      <c r="AU207" s="187">
        <f t="shared" si="73"/>
        <v>2</v>
      </c>
      <c r="AV207" s="188">
        <v>4</v>
      </c>
    </row>
    <row r="208" spans="35:48" ht="24" customHeight="1">
      <c r="AI208" s="1">
        <v>207</v>
      </c>
      <c r="AN208" s="1">
        <f>IF($AO$1=5,"",AN207+1)</f>
        <v>207</v>
      </c>
      <c r="AO208" s="186">
        <f t="shared" si="72"/>
        <v>1</v>
      </c>
      <c r="AP208" s="187">
        <v>4</v>
      </c>
      <c r="AQ208" s="187" t="str">
        <f t="shared" si="66"/>
        <v>KRC</v>
      </c>
      <c r="AR208" s="187" t="str">
        <f t="shared" si="67"/>
        <v>伊庭 保久</v>
      </c>
      <c r="AS208" s="187" t="str">
        <f t="shared" si="68"/>
        <v>丹羽 俊也</v>
      </c>
      <c r="AT208" s="187" t="str">
        <f t="shared" si="69"/>
        <v>HRC</v>
      </c>
      <c r="AU208" s="187">
        <f t="shared" si="73"/>
        <v>2</v>
      </c>
      <c r="AV208" s="188">
        <v>5</v>
      </c>
    </row>
    <row r="209" spans="35:48" ht="24" customHeight="1">
      <c r="AI209" s="1">
        <v>208</v>
      </c>
      <c r="AN209" s="1">
        <f>IF($AO$1=5,"",AN208+1)</f>
        <v>208</v>
      </c>
      <c r="AO209" s="186">
        <f t="shared" si="72"/>
        <v>1</v>
      </c>
      <c r="AP209" s="187">
        <v>5</v>
      </c>
      <c r="AQ209" s="187" t="str">
        <f t="shared" si="66"/>
        <v>KRC</v>
      </c>
      <c r="AR209" s="187" t="str">
        <f t="shared" si="67"/>
        <v>菊池 靖正</v>
      </c>
      <c r="AS209" s="187" t="str">
        <f t="shared" si="68"/>
        <v>平井 洸志</v>
      </c>
      <c r="AT209" s="187" t="str">
        <f t="shared" si="69"/>
        <v>HRC</v>
      </c>
      <c r="AU209" s="187">
        <f t="shared" si="73"/>
        <v>2</v>
      </c>
      <c r="AV209" s="188">
        <v>6</v>
      </c>
    </row>
    <row r="210" spans="35:48" ht="24" customHeight="1">
      <c r="AI210" s="1">
        <v>209</v>
      </c>
      <c r="AN210" s="1">
        <f>IF($AO$1=5,"",AN209+1)</f>
        <v>209</v>
      </c>
      <c r="AO210" s="186">
        <f t="shared" si="72"/>
        <v>1</v>
      </c>
      <c r="AP210" s="187">
        <v>6</v>
      </c>
      <c r="AQ210" s="187" t="str">
        <f t="shared" si="66"/>
        <v>KRC</v>
      </c>
      <c r="AR210" s="187" t="str">
        <f t="shared" si="67"/>
        <v>田附 裕次</v>
      </c>
      <c r="AS210" s="187" t="str">
        <f t="shared" si="68"/>
        <v>栃下 恭子</v>
      </c>
      <c r="AT210" s="187" t="str">
        <f t="shared" si="69"/>
        <v>HRC</v>
      </c>
      <c r="AU210" s="187">
        <f t="shared" si="73"/>
        <v>2</v>
      </c>
      <c r="AV210" s="188">
        <v>7</v>
      </c>
    </row>
    <row r="211" spans="35:48" ht="24" customHeight="1">
      <c r="AI211" s="1">
        <v>210</v>
      </c>
      <c r="AN211" s="1">
        <f>IF($AO$1=5,"",AN210+1)</f>
        <v>210</v>
      </c>
      <c r="AO211" s="189">
        <f t="shared" si="72"/>
        <v>1</v>
      </c>
      <c r="AP211" s="190">
        <v>7</v>
      </c>
      <c r="AQ211" s="190" t="str">
        <f t="shared" si="66"/>
        <v>KRC</v>
      </c>
      <c r="AR211" s="190" t="str">
        <f t="shared" si="67"/>
        <v>森田由佳里</v>
      </c>
      <c r="AS211" s="190" t="str">
        <f t="shared" si="68"/>
        <v>堂園 雅也</v>
      </c>
      <c r="AT211" s="190" t="str">
        <f t="shared" si="69"/>
        <v>HRC</v>
      </c>
      <c r="AU211" s="190">
        <f t="shared" si="73"/>
        <v>2</v>
      </c>
      <c r="AV211" s="191">
        <v>1</v>
      </c>
    </row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</sheetData>
  <sheetProtection/>
  <mergeCells count="58">
    <mergeCell ref="K9:N9"/>
    <mergeCell ref="K10:N10"/>
    <mergeCell ref="K11:N11"/>
    <mergeCell ref="B19:C19"/>
    <mergeCell ref="D18:E18"/>
    <mergeCell ref="D19:E19"/>
    <mergeCell ref="B18:C18"/>
    <mergeCell ref="S19:T19"/>
    <mergeCell ref="V19:W19"/>
    <mergeCell ref="S17:T17"/>
    <mergeCell ref="V17:W17"/>
    <mergeCell ref="E5:G5"/>
    <mergeCell ref="I5:J5"/>
    <mergeCell ref="S18:T18"/>
    <mergeCell ref="V18:W18"/>
    <mergeCell ref="P17:Q17"/>
    <mergeCell ref="K8:N8"/>
    <mergeCell ref="P20:Q20"/>
    <mergeCell ref="G18:H18"/>
    <mergeCell ref="J18:K18"/>
    <mergeCell ref="G19:H19"/>
    <mergeCell ref="J19:K19"/>
    <mergeCell ref="P19:Q19"/>
    <mergeCell ref="P18:Q18"/>
    <mergeCell ref="M22:N22"/>
    <mergeCell ref="G17:H17"/>
    <mergeCell ref="M21:N21"/>
    <mergeCell ref="J17:K17"/>
    <mergeCell ref="M17:N17"/>
    <mergeCell ref="M19:N19"/>
    <mergeCell ref="M18:N18"/>
    <mergeCell ref="M20:N20"/>
    <mergeCell ref="I1:L1"/>
    <mergeCell ref="B20:C20"/>
    <mergeCell ref="D20:E20"/>
    <mergeCell ref="G20:H20"/>
    <mergeCell ref="J20:K20"/>
    <mergeCell ref="B17:C17"/>
    <mergeCell ref="E3:H3"/>
    <mergeCell ref="B15:C16"/>
    <mergeCell ref="D17:E17"/>
    <mergeCell ref="K12:N12"/>
    <mergeCell ref="S20:T20"/>
    <mergeCell ref="V20:W20"/>
    <mergeCell ref="B22:C22"/>
    <mergeCell ref="D22:E22"/>
    <mergeCell ref="G22:H22"/>
    <mergeCell ref="J22:K22"/>
    <mergeCell ref="P22:Q22"/>
    <mergeCell ref="S22:T22"/>
    <mergeCell ref="V22:W22"/>
    <mergeCell ref="P21:Q21"/>
    <mergeCell ref="S21:T21"/>
    <mergeCell ref="V21:W21"/>
    <mergeCell ref="B21:C21"/>
    <mergeCell ref="D21:E21"/>
    <mergeCell ref="G21:H21"/>
    <mergeCell ref="J21:K21"/>
  </mergeCells>
  <conditionalFormatting sqref="F17:F19 U17:U19 O17:O19 R17:R19 L17:L19 I17:I19 X17:X19 X22 I22 L22 R22 O22 U22 F22">
    <cfRule type="cellIs" priority="3" dxfId="2" operator="notEqual" stopIfTrue="1">
      <formula>$I$8</formula>
    </cfRule>
  </conditionalFormatting>
  <conditionalFormatting sqref="F20 U20 O20 R20 L20 I20 X20">
    <cfRule type="cellIs" priority="2" dxfId="2" operator="notEqual" stopIfTrue="1">
      <formula>$I$8</formula>
    </cfRule>
  </conditionalFormatting>
  <conditionalFormatting sqref="F21 U21 O21 R21 L21 I21 X21">
    <cfRule type="cellIs" priority="1" dxfId="2" operator="notEqual" stopIfTrue="1">
      <formula>$I$8</formula>
    </cfRule>
  </conditionalFormatting>
  <dataValidations count="1">
    <dataValidation errorStyle="warning" type="list" allowBlank="1" showInputMessage="1" showErrorMessage="1" errorTitle="持点の設定" error="【持点の設定】と異なる持点を入力していませんか？" imeMode="off" sqref="F17:F22 U17:U22 I17:I22 O17:O22 R17:R22 L17:L22 X17:X22">
      <formula1>点数</formula1>
    </dataValidation>
  </dataValidation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L310"/>
  <sheetViews>
    <sheetView view="pageBreakPreview" zoomScale="60" zoomScaleNormal="50" zoomScalePageLayoutView="0" workbookViewId="0" topLeftCell="A1">
      <selection activeCell="AL26" sqref="AL26"/>
    </sheetView>
  </sheetViews>
  <sheetFormatPr defaultColWidth="9.00390625" defaultRowHeight="15" customHeight="1"/>
  <cols>
    <col min="1" max="1" width="2.50390625" style="0" customWidth="1"/>
    <col min="2" max="8" width="8.625" style="0" customWidth="1"/>
    <col min="9" max="10" width="2.50390625" style="0" customWidth="1"/>
    <col min="11" max="17" width="8.625" style="0" customWidth="1"/>
    <col min="18" max="19" width="2.50390625" style="0" customWidth="1"/>
    <col min="20" max="26" width="8.625" style="0" customWidth="1"/>
    <col min="27" max="28" width="2.50390625" style="0" customWidth="1"/>
    <col min="29" max="35" width="8.625" style="0" customWidth="1"/>
    <col min="36" max="37" width="2.50390625" style="0" customWidth="1"/>
    <col min="38" max="44" width="8.625" style="0" customWidth="1"/>
    <col min="45" max="46" width="2.50390625" style="0" customWidth="1"/>
    <col min="47" max="53" width="8.625" style="0" customWidth="1"/>
    <col min="54" max="55" width="2.50390625" style="0" customWidth="1"/>
    <col min="56" max="62" width="8.625" style="0" customWidth="1"/>
    <col min="63" max="64" width="2.50390625" style="0" customWidth="1"/>
  </cols>
  <sheetData>
    <row r="1" spans="10:17" ht="15" customHeight="1">
      <c r="J1" t="s">
        <v>33</v>
      </c>
      <c r="K1" s="23" t="str">
        <f>'★個人成績表★'!$A$1</f>
        <v>第28回　京阪神和奈滋対抗戦　　　(大阪；玉出エース)</v>
      </c>
      <c r="L1" s="36"/>
      <c r="M1" s="36"/>
      <c r="N1" s="36"/>
      <c r="O1" s="36"/>
      <c r="P1" s="36"/>
      <c r="Q1" s="37"/>
    </row>
    <row r="3" spans="2:17" ht="15" customHeight="1">
      <c r="B3" t="s">
        <v>34</v>
      </c>
      <c r="J3" s="38"/>
      <c r="K3" s="22" t="s">
        <v>35</v>
      </c>
      <c r="L3" s="30"/>
      <c r="M3" s="38"/>
      <c r="N3" s="38"/>
      <c r="O3" s="22" t="s">
        <v>36</v>
      </c>
      <c r="P3" s="30"/>
      <c r="Q3" s="38"/>
    </row>
    <row r="4" ht="15" customHeight="1" thickBot="1"/>
    <row r="5" spans="11:17" ht="31.5" customHeight="1">
      <c r="K5" s="39"/>
      <c r="L5" s="40"/>
      <c r="M5" s="41"/>
      <c r="N5" s="42" t="s">
        <v>29</v>
      </c>
      <c r="O5" s="43"/>
      <c r="P5" s="40"/>
      <c r="Q5" s="44"/>
    </row>
    <row r="6" spans="11:17" ht="46.5" customHeight="1">
      <c r="K6" s="45"/>
      <c r="L6" s="19"/>
      <c r="M6" s="20"/>
      <c r="N6" s="46" t="s">
        <v>30</v>
      </c>
      <c r="O6" s="47"/>
      <c r="P6" s="19"/>
      <c r="Q6" s="48"/>
    </row>
    <row r="7" spans="11:17" ht="37.5" customHeight="1">
      <c r="K7" s="49"/>
      <c r="L7" s="19"/>
      <c r="M7" s="20"/>
      <c r="N7" s="46" t="s">
        <v>31</v>
      </c>
      <c r="O7" s="50"/>
      <c r="P7" s="19"/>
      <c r="Q7" s="48"/>
    </row>
    <row r="8" spans="11:17" ht="37.5" customHeight="1" thickBot="1">
      <c r="K8" s="51"/>
      <c r="L8" s="52"/>
      <c r="M8" s="53"/>
      <c r="N8" s="54" t="s">
        <v>32</v>
      </c>
      <c r="O8" s="55"/>
      <c r="P8" s="52"/>
      <c r="Q8" s="56"/>
    </row>
    <row r="10" spans="13:17" ht="15" customHeight="1">
      <c r="M10" s="22"/>
      <c r="N10" s="22"/>
      <c r="O10" s="21" t="s">
        <v>37</v>
      </c>
      <c r="P10" s="30"/>
      <c r="Q10" s="30"/>
    </row>
    <row r="11" spans="2:64" ht="15" customHeight="1">
      <c r="B11" s="23" t="str">
        <f>'★個人成績表★'!$A$1</f>
        <v>第28回　京阪神和奈滋対抗戦　　　(大阪；玉出エース)</v>
      </c>
      <c r="C11" s="36"/>
      <c r="D11" s="36"/>
      <c r="E11" s="36"/>
      <c r="F11" s="36"/>
      <c r="G11" s="36"/>
      <c r="H11" s="37"/>
      <c r="K11" s="23" t="str">
        <f>'★個人成績表★'!$A$1</f>
        <v>第28回　京阪神和奈滋対抗戦　　　(大阪；玉出エース)</v>
      </c>
      <c r="L11" s="36"/>
      <c r="M11" s="36"/>
      <c r="N11" s="36"/>
      <c r="O11" s="36"/>
      <c r="P11" s="36"/>
      <c r="Q11" s="37"/>
      <c r="T11" s="23" t="str">
        <f>'★個人成績表★'!$A$1</f>
        <v>第28回　京阪神和奈滋対抗戦　　　(大阪；玉出エース)</v>
      </c>
      <c r="U11" s="36"/>
      <c r="V11" s="36"/>
      <c r="W11" s="36"/>
      <c r="X11" s="36"/>
      <c r="Y11" s="36"/>
      <c r="Z11" s="37"/>
      <c r="AC11" s="23" t="str">
        <f>'★個人成績表★'!$A$1</f>
        <v>第28回　京阪神和奈滋対抗戦　　　(大阪；玉出エース)</v>
      </c>
      <c r="AD11" s="36"/>
      <c r="AE11" s="36"/>
      <c r="AF11" s="36"/>
      <c r="AG11" s="36"/>
      <c r="AH11" s="36"/>
      <c r="AI11" s="37"/>
      <c r="AL11" s="23" t="str">
        <f>'★個人成績表★'!$A$1</f>
        <v>第28回　京阪神和奈滋対抗戦　　　(大阪；玉出エース)</v>
      </c>
      <c r="AM11" s="36"/>
      <c r="AN11" s="36"/>
      <c r="AO11" s="36"/>
      <c r="AP11" s="36"/>
      <c r="AQ11" s="36"/>
      <c r="AR11" s="37"/>
      <c r="AU11" s="23" t="str">
        <f>'★個人成績表★'!$A$1</f>
        <v>第28回　京阪神和奈滋対抗戦　　　(大阪；玉出エース)</v>
      </c>
      <c r="AV11" s="36"/>
      <c r="AW11" s="36"/>
      <c r="AX11" s="36"/>
      <c r="AY11" s="36"/>
      <c r="AZ11" s="36"/>
      <c r="BA11" s="37"/>
      <c r="BD11" s="23" t="str">
        <f>'★個人成績表★'!$A$1</f>
        <v>第28回　京阪神和奈滋対抗戦　　　(大阪；玉出エース)</v>
      </c>
      <c r="BE11" s="36"/>
      <c r="BF11" s="36"/>
      <c r="BG11" s="36"/>
      <c r="BH11" s="36"/>
      <c r="BI11" s="36"/>
      <c r="BJ11" s="37"/>
      <c r="BL11" t="s">
        <v>33</v>
      </c>
    </row>
    <row r="13" spans="2:61" s="38" customFormat="1" ht="15" customHeight="1">
      <c r="B13" s="22" t="s">
        <v>35</v>
      </c>
      <c r="C13" s="30">
        <v>1</v>
      </c>
      <c r="F13" s="22" t="s">
        <v>36</v>
      </c>
      <c r="G13" s="30"/>
      <c r="K13" s="22" t="s">
        <v>35</v>
      </c>
      <c r="L13" s="30">
        <f>C13+1</f>
        <v>2</v>
      </c>
      <c r="O13" s="22" t="s">
        <v>36</v>
      </c>
      <c r="P13" s="30"/>
      <c r="T13" s="22" t="s">
        <v>35</v>
      </c>
      <c r="U13" s="30">
        <f>L13+1</f>
        <v>3</v>
      </c>
      <c r="X13" s="22" t="s">
        <v>36</v>
      </c>
      <c r="Y13" s="30"/>
      <c r="AC13" s="22" t="s">
        <v>35</v>
      </c>
      <c r="AD13" s="30">
        <f>U13+1</f>
        <v>4</v>
      </c>
      <c r="AG13" s="22" t="s">
        <v>36</v>
      </c>
      <c r="AH13" s="30"/>
      <c r="AL13" s="22" t="s">
        <v>35</v>
      </c>
      <c r="AM13" s="30">
        <f>AD13+1</f>
        <v>5</v>
      </c>
      <c r="AP13" s="22" t="s">
        <v>36</v>
      </c>
      <c r="AQ13" s="30"/>
      <c r="AU13" s="22" t="s">
        <v>35</v>
      </c>
      <c r="AV13" s="30">
        <f>AM13+1</f>
        <v>6</v>
      </c>
      <c r="AY13" s="22" t="s">
        <v>36</v>
      </c>
      <c r="AZ13" s="30"/>
      <c r="BD13" s="22" t="s">
        <v>35</v>
      </c>
      <c r="BE13" s="30">
        <f>AV13+1</f>
        <v>7</v>
      </c>
      <c r="BH13" s="22" t="s">
        <v>36</v>
      </c>
      <c r="BI13" s="30"/>
    </row>
    <row r="14" ht="15" customHeight="1" thickBot="1"/>
    <row r="15" spans="2:62" ht="31.5" customHeight="1">
      <c r="B15" s="39" t="str">
        <f>VLOOKUP(C13,'結果入力表'!$B$2:$J$212,2,FALSE)</f>
        <v>ORC</v>
      </c>
      <c r="C15" s="40"/>
      <c r="D15" s="41"/>
      <c r="E15" s="42" t="s">
        <v>29</v>
      </c>
      <c r="F15" s="43" t="str">
        <f>VLOOKUP(C13,'結果入力表'!$B$2:$J$212,9,FALSE)</f>
        <v>NRC</v>
      </c>
      <c r="G15" s="40"/>
      <c r="H15" s="44"/>
      <c r="K15" s="39" t="str">
        <f>VLOOKUP(L13,'結果入力表'!$B$2:$J$212,2,FALSE)</f>
        <v>ORC</v>
      </c>
      <c r="L15" s="40"/>
      <c r="M15" s="41"/>
      <c r="N15" s="42" t="s">
        <v>29</v>
      </c>
      <c r="O15" s="43" t="str">
        <f>VLOOKUP(L13,'結果入力表'!$B$2:$J$212,9,FALSE)</f>
        <v>NRC</v>
      </c>
      <c r="P15" s="40"/>
      <c r="Q15" s="44"/>
      <c r="T15" s="39" t="str">
        <f>VLOOKUP(U13,'結果入力表'!$B$2:$J$212,2,FALSE)</f>
        <v>ORC</v>
      </c>
      <c r="U15" s="40"/>
      <c r="V15" s="41"/>
      <c r="W15" s="42" t="s">
        <v>29</v>
      </c>
      <c r="X15" s="43" t="str">
        <f>VLOOKUP(U13,'結果入力表'!$B$2:$J$212,9,FALSE)</f>
        <v>NRC</v>
      </c>
      <c r="Y15" s="40"/>
      <c r="Z15" s="44"/>
      <c r="AC15" s="39" t="str">
        <f>VLOOKUP(AD13,'結果入力表'!$B$2:$J$212,2,FALSE)</f>
        <v>ORC</v>
      </c>
      <c r="AD15" s="40"/>
      <c r="AE15" s="41"/>
      <c r="AF15" s="42" t="s">
        <v>29</v>
      </c>
      <c r="AG15" s="43" t="str">
        <f>VLOOKUP(AD13,'結果入力表'!$B$2:$J$212,9,FALSE)</f>
        <v>NRC</v>
      </c>
      <c r="AH15" s="40"/>
      <c r="AI15" s="44"/>
      <c r="AL15" s="39" t="str">
        <f>VLOOKUP(AM13,'結果入力表'!$B$2:$J$212,2,FALSE)</f>
        <v>ORC</v>
      </c>
      <c r="AM15" s="40"/>
      <c r="AN15" s="41"/>
      <c r="AO15" s="42" t="s">
        <v>29</v>
      </c>
      <c r="AP15" s="43" t="str">
        <f>VLOOKUP(AM13,'結果入力表'!$B$2:$J$212,9,FALSE)</f>
        <v>NRC</v>
      </c>
      <c r="AQ15" s="40"/>
      <c r="AR15" s="44"/>
      <c r="AU15" s="39" t="str">
        <f>VLOOKUP(AV13,'結果入力表'!$B$2:$J$212,2,FALSE)</f>
        <v>ORC</v>
      </c>
      <c r="AV15" s="40"/>
      <c r="AW15" s="41"/>
      <c r="AX15" s="42" t="s">
        <v>29</v>
      </c>
      <c r="AY15" s="43" t="str">
        <f>VLOOKUP(AV13,'結果入力表'!$B$2:$J$212,9,FALSE)</f>
        <v>NRC</v>
      </c>
      <c r="AZ15" s="40"/>
      <c r="BA15" s="44"/>
      <c r="BD15" s="39" t="str">
        <f>VLOOKUP(BE13,'結果入力表'!$B$2:$J$212,2,FALSE)</f>
        <v>ORC</v>
      </c>
      <c r="BE15" s="40"/>
      <c r="BF15" s="41"/>
      <c r="BG15" s="42" t="s">
        <v>29</v>
      </c>
      <c r="BH15" s="43" t="str">
        <f>VLOOKUP(BE13,'結果入力表'!$B$2:$J$212,9,FALSE)</f>
        <v>NRC</v>
      </c>
      <c r="BI15" s="40"/>
      <c r="BJ15" s="44"/>
    </row>
    <row r="16" spans="2:62" ht="46.5" customHeight="1">
      <c r="B16" s="438" t="str">
        <f>VLOOKUP(C13,'結果入力表'!$B$2:$J$212,3,FALSE)</f>
        <v>村上 泰辰</v>
      </c>
      <c r="C16" s="19"/>
      <c r="D16" s="20"/>
      <c r="E16" s="46" t="s">
        <v>30</v>
      </c>
      <c r="F16" s="437" t="str">
        <f>VLOOKUP(C13,'結果入力表'!$B$2:$J$212,8,FALSE)</f>
        <v>白戸 玲人</v>
      </c>
      <c r="G16" s="19"/>
      <c r="H16" s="48"/>
      <c r="K16" s="438" t="str">
        <f>VLOOKUP(L13,'結果入力表'!$B$2:$J$212,3,FALSE)</f>
        <v>乾　伸綱</v>
      </c>
      <c r="L16" s="19"/>
      <c r="M16" s="20"/>
      <c r="N16" s="46" t="s">
        <v>30</v>
      </c>
      <c r="O16" s="437" t="str">
        <f>VLOOKUP(L13,'結果入力表'!$B$2:$J$212,8,FALSE)</f>
        <v>近藤 拓馬</v>
      </c>
      <c r="P16" s="19"/>
      <c r="Q16" s="48"/>
      <c r="T16" s="438" t="str">
        <f>VLOOKUP(U13,'結果入力表'!$B$2:$J$212,3,FALSE)</f>
        <v>吉岡 保俊</v>
      </c>
      <c r="U16" s="19"/>
      <c r="V16" s="20"/>
      <c r="W16" s="46" t="s">
        <v>30</v>
      </c>
      <c r="X16" s="437" t="str">
        <f>VLOOKUP(U13,'結果入力表'!$B$2:$J$212,8,FALSE)</f>
        <v>吉向 翔平</v>
      </c>
      <c r="Y16" s="19"/>
      <c r="Z16" s="48"/>
      <c r="AC16" s="438" t="str">
        <f>VLOOKUP(AD13,'結果入力表'!$B$2:$J$212,3,FALSE)</f>
        <v>山田 玄英</v>
      </c>
      <c r="AD16" s="19"/>
      <c r="AE16" s="20"/>
      <c r="AF16" s="46" t="s">
        <v>30</v>
      </c>
      <c r="AG16" s="437" t="str">
        <f>VLOOKUP(AD13,'結果入力表'!$B$2:$J$212,8,FALSE)</f>
        <v>山田 普之</v>
      </c>
      <c r="AH16" s="19"/>
      <c r="AI16" s="48"/>
      <c r="AL16" s="438" t="str">
        <f>VLOOKUP(AM13,'結果入力表'!$B$2:$J$212,3,FALSE)</f>
        <v>由本　拓</v>
      </c>
      <c r="AM16" s="19"/>
      <c r="AN16" s="20"/>
      <c r="AO16" s="46" t="s">
        <v>30</v>
      </c>
      <c r="AP16" s="437" t="str">
        <f>VLOOKUP(AM13,'結果入力表'!$B$2:$J$212,8,FALSE)</f>
        <v>山田 晃司</v>
      </c>
      <c r="AQ16" s="19"/>
      <c r="AR16" s="48"/>
      <c r="AU16" s="438" t="str">
        <f>VLOOKUP(AV13,'結果入力表'!$B$2:$J$212,3,FALSE)</f>
        <v>田中 隆介</v>
      </c>
      <c r="AV16" s="19"/>
      <c r="AW16" s="20"/>
      <c r="AX16" s="46" t="s">
        <v>30</v>
      </c>
      <c r="AY16" s="437" t="str">
        <f>VLOOKUP(AV13,'結果入力表'!$B$2:$J$212,8,FALSE)</f>
        <v>長谷川 進</v>
      </c>
      <c r="AZ16" s="19"/>
      <c r="BA16" s="48"/>
      <c r="BD16" s="438" t="str">
        <f>VLOOKUP(BE13,'結果入力表'!$B$2:$J$212,3,FALSE)</f>
        <v>西田 恵子</v>
      </c>
      <c r="BE16" s="19"/>
      <c r="BF16" s="20"/>
      <c r="BG16" s="46" t="s">
        <v>30</v>
      </c>
      <c r="BH16" s="437" t="str">
        <f>VLOOKUP(BE13,'結果入力表'!$B$2:$J$212,8,FALSE)</f>
        <v>宮野 早織</v>
      </c>
      <c r="BI16" s="19"/>
      <c r="BJ16" s="48"/>
    </row>
    <row r="17" spans="2:62" ht="37.5" customHeight="1">
      <c r="B17" s="49"/>
      <c r="C17" s="19"/>
      <c r="D17" s="20"/>
      <c r="E17" s="46" t="s">
        <v>31</v>
      </c>
      <c r="F17" s="50"/>
      <c r="G17" s="19"/>
      <c r="H17" s="48"/>
      <c r="K17" s="49"/>
      <c r="L17" s="19"/>
      <c r="M17" s="20"/>
      <c r="N17" s="46" t="s">
        <v>31</v>
      </c>
      <c r="O17" s="50"/>
      <c r="P17" s="19"/>
      <c r="Q17" s="48"/>
      <c r="T17" s="49"/>
      <c r="U17" s="19"/>
      <c r="V17" s="20"/>
      <c r="W17" s="46" t="s">
        <v>31</v>
      </c>
      <c r="X17" s="50"/>
      <c r="Y17" s="19"/>
      <c r="Z17" s="48"/>
      <c r="AC17" s="49"/>
      <c r="AD17" s="19"/>
      <c r="AE17" s="20"/>
      <c r="AF17" s="46" t="s">
        <v>31</v>
      </c>
      <c r="AG17" s="50"/>
      <c r="AH17" s="19"/>
      <c r="AI17" s="48"/>
      <c r="AL17" s="49"/>
      <c r="AM17" s="19"/>
      <c r="AN17" s="20"/>
      <c r="AO17" s="46" t="s">
        <v>31</v>
      </c>
      <c r="AP17" s="50"/>
      <c r="AQ17" s="19"/>
      <c r="AR17" s="48"/>
      <c r="AU17" s="49"/>
      <c r="AV17" s="19"/>
      <c r="AW17" s="20"/>
      <c r="AX17" s="46" t="s">
        <v>31</v>
      </c>
      <c r="AY17" s="50"/>
      <c r="AZ17" s="19"/>
      <c r="BA17" s="48"/>
      <c r="BD17" s="49"/>
      <c r="BE17" s="19"/>
      <c r="BF17" s="20"/>
      <c r="BG17" s="46" t="s">
        <v>31</v>
      </c>
      <c r="BH17" s="50"/>
      <c r="BI17" s="19"/>
      <c r="BJ17" s="48"/>
    </row>
    <row r="18" spans="2:62" ht="37.5" customHeight="1" thickBot="1">
      <c r="B18" s="51"/>
      <c r="C18" s="52"/>
      <c r="D18" s="53"/>
      <c r="E18" s="54" t="s">
        <v>32</v>
      </c>
      <c r="F18" s="55"/>
      <c r="G18" s="52"/>
      <c r="H18" s="56"/>
      <c r="K18" s="51"/>
      <c r="L18" s="52"/>
      <c r="M18" s="53"/>
      <c r="N18" s="54" t="s">
        <v>32</v>
      </c>
      <c r="O18" s="55"/>
      <c r="P18" s="52"/>
      <c r="Q18" s="56"/>
      <c r="T18" s="51"/>
      <c r="U18" s="52"/>
      <c r="V18" s="53"/>
      <c r="W18" s="54" t="s">
        <v>32</v>
      </c>
      <c r="X18" s="55"/>
      <c r="Y18" s="52"/>
      <c r="Z18" s="56"/>
      <c r="AC18" s="51"/>
      <c r="AD18" s="52"/>
      <c r="AE18" s="53"/>
      <c r="AF18" s="54" t="s">
        <v>32</v>
      </c>
      <c r="AG18" s="55"/>
      <c r="AH18" s="52"/>
      <c r="AI18" s="56"/>
      <c r="AL18" s="51"/>
      <c r="AM18" s="52"/>
      <c r="AN18" s="53"/>
      <c r="AO18" s="54" t="s">
        <v>32</v>
      </c>
      <c r="AP18" s="55"/>
      <c r="AQ18" s="52"/>
      <c r="AR18" s="56"/>
      <c r="AU18" s="51"/>
      <c r="AV18" s="52"/>
      <c r="AW18" s="53"/>
      <c r="AX18" s="54" t="s">
        <v>32</v>
      </c>
      <c r="AY18" s="55"/>
      <c r="AZ18" s="52"/>
      <c r="BA18" s="56"/>
      <c r="BD18" s="51"/>
      <c r="BE18" s="52"/>
      <c r="BF18" s="53"/>
      <c r="BG18" s="54" t="s">
        <v>32</v>
      </c>
      <c r="BH18" s="55"/>
      <c r="BI18" s="52"/>
      <c r="BJ18" s="56"/>
    </row>
    <row r="20" spans="4:62" ht="15" customHeight="1">
      <c r="D20" s="22"/>
      <c r="E20" s="22"/>
      <c r="F20" s="21" t="s">
        <v>37</v>
      </c>
      <c r="G20" s="441"/>
      <c r="H20" s="30"/>
      <c r="M20" s="22"/>
      <c r="N20" s="22"/>
      <c r="O20" s="21" t="s">
        <v>37</v>
      </c>
      <c r="P20" s="30"/>
      <c r="Q20" s="30"/>
      <c r="V20" s="22"/>
      <c r="W20" s="22"/>
      <c r="X20" s="21" t="s">
        <v>37</v>
      </c>
      <c r="Y20" s="30"/>
      <c r="Z20" s="30"/>
      <c r="AE20" s="22"/>
      <c r="AF20" s="22"/>
      <c r="AG20" s="21" t="s">
        <v>37</v>
      </c>
      <c r="AH20" s="30"/>
      <c r="AI20" s="30"/>
      <c r="AN20" s="22"/>
      <c r="AO20" s="22"/>
      <c r="AP20" s="21" t="s">
        <v>37</v>
      </c>
      <c r="AQ20" s="30"/>
      <c r="AR20" s="30"/>
      <c r="AW20" s="22"/>
      <c r="AX20" s="22"/>
      <c r="AY20" s="21" t="s">
        <v>37</v>
      </c>
      <c r="AZ20" s="30"/>
      <c r="BA20" s="30"/>
      <c r="BF20" s="22"/>
      <c r="BG20" s="22"/>
      <c r="BH20" s="21" t="s">
        <v>37</v>
      </c>
      <c r="BI20" s="30"/>
      <c r="BJ20" s="30"/>
    </row>
    <row r="21" spans="2:64" ht="15" customHeight="1">
      <c r="B21" s="23" t="str">
        <f>'★個人成績表★'!$A$1</f>
        <v>第28回　京阪神和奈滋対抗戦　　　(大阪；玉出エース)</v>
      </c>
      <c r="C21" s="36"/>
      <c r="D21" s="36"/>
      <c r="E21" s="36"/>
      <c r="F21" s="36"/>
      <c r="G21" s="36"/>
      <c r="H21" s="37"/>
      <c r="K21" s="23" t="str">
        <f>'★個人成績表★'!$A$1</f>
        <v>第28回　京阪神和奈滋対抗戦　　　(大阪；玉出エース)</v>
      </c>
      <c r="L21" s="36"/>
      <c r="M21" s="36"/>
      <c r="N21" s="36"/>
      <c r="O21" s="36"/>
      <c r="P21" s="36"/>
      <c r="Q21" s="37"/>
      <c r="T21" s="23" t="str">
        <f>'★個人成績表★'!$A$1</f>
        <v>第28回　京阪神和奈滋対抗戦　　　(大阪；玉出エース)</v>
      </c>
      <c r="U21" s="36"/>
      <c r="V21" s="36"/>
      <c r="W21" s="36"/>
      <c r="X21" s="36"/>
      <c r="Y21" s="36"/>
      <c r="Z21" s="37"/>
      <c r="AC21" s="23" t="str">
        <f>'★個人成績表★'!$A$1</f>
        <v>第28回　京阪神和奈滋対抗戦　　　(大阪；玉出エース)</v>
      </c>
      <c r="AD21" s="36"/>
      <c r="AE21" s="36"/>
      <c r="AF21" s="36"/>
      <c r="AG21" s="36"/>
      <c r="AH21" s="36"/>
      <c r="AI21" s="37"/>
      <c r="AL21" s="23" t="str">
        <f>'★個人成績表★'!$A$1</f>
        <v>第28回　京阪神和奈滋対抗戦　　　(大阪；玉出エース)</v>
      </c>
      <c r="AM21" s="36"/>
      <c r="AN21" s="36"/>
      <c r="AO21" s="36"/>
      <c r="AP21" s="36"/>
      <c r="AQ21" s="36"/>
      <c r="AR21" s="37"/>
      <c r="AU21" s="23" t="str">
        <f>'★個人成績表★'!$A$1</f>
        <v>第28回　京阪神和奈滋対抗戦　　　(大阪；玉出エース)</v>
      </c>
      <c r="AV21" s="36"/>
      <c r="AW21" s="36"/>
      <c r="AX21" s="36"/>
      <c r="AY21" s="36"/>
      <c r="AZ21" s="36"/>
      <c r="BA21" s="37"/>
      <c r="BD21" s="23" t="str">
        <f>'★個人成績表★'!$A$1</f>
        <v>第28回　京阪神和奈滋対抗戦　　　(大阪；玉出エース)</v>
      </c>
      <c r="BE21" s="36"/>
      <c r="BF21" s="36"/>
      <c r="BG21" s="36"/>
      <c r="BH21" s="36"/>
      <c r="BI21" s="36"/>
      <c r="BJ21" s="37"/>
      <c r="BL21" t="s">
        <v>33</v>
      </c>
    </row>
    <row r="23" spans="2:61" s="38" customFormat="1" ht="15" customHeight="1">
      <c r="B23" s="22" t="s">
        <v>35</v>
      </c>
      <c r="C23" s="30">
        <f>BE13+1</f>
        <v>8</v>
      </c>
      <c r="F23" s="22" t="s">
        <v>36</v>
      </c>
      <c r="G23" s="30"/>
      <c r="K23" s="22" t="s">
        <v>35</v>
      </c>
      <c r="L23" s="30">
        <f>C23+1</f>
        <v>9</v>
      </c>
      <c r="O23" s="22" t="s">
        <v>36</v>
      </c>
      <c r="P23" s="30"/>
      <c r="T23" s="22" t="s">
        <v>35</v>
      </c>
      <c r="U23" s="30">
        <f>L23+1</f>
        <v>10</v>
      </c>
      <c r="X23" s="22" t="s">
        <v>36</v>
      </c>
      <c r="Y23" s="30"/>
      <c r="AC23" s="22" t="s">
        <v>35</v>
      </c>
      <c r="AD23" s="30">
        <f>U23+1</f>
        <v>11</v>
      </c>
      <c r="AG23" s="22" t="s">
        <v>36</v>
      </c>
      <c r="AH23" s="30"/>
      <c r="AL23" s="22" t="s">
        <v>35</v>
      </c>
      <c r="AM23" s="30">
        <f>AD23+1</f>
        <v>12</v>
      </c>
      <c r="AP23" s="22" t="s">
        <v>36</v>
      </c>
      <c r="AQ23" s="30"/>
      <c r="AU23" s="22" t="s">
        <v>35</v>
      </c>
      <c r="AV23" s="30">
        <f>AM23+1</f>
        <v>13</v>
      </c>
      <c r="AY23" s="22" t="s">
        <v>36</v>
      </c>
      <c r="AZ23" s="30"/>
      <c r="BD23" s="22" t="s">
        <v>35</v>
      </c>
      <c r="BE23" s="30">
        <f>AV23+1</f>
        <v>14</v>
      </c>
      <c r="BH23" s="22" t="s">
        <v>36</v>
      </c>
      <c r="BI23" s="30"/>
    </row>
    <row r="24" ht="15" customHeight="1" thickBot="1"/>
    <row r="25" spans="2:62" ht="31.5" customHeight="1">
      <c r="B25" s="39" t="str">
        <f>VLOOKUP(C23,'結果入力表'!$B$2:$J$212,2,FALSE)</f>
        <v>HRC</v>
      </c>
      <c r="C25" s="40"/>
      <c r="D25" s="41"/>
      <c r="E25" s="42" t="s">
        <v>29</v>
      </c>
      <c r="F25" s="43" t="str">
        <f>VLOOKUP(C23,'結果入力表'!$B$2:$J$212,9,FALSE)</f>
        <v>SBC</v>
      </c>
      <c r="G25" s="40"/>
      <c r="H25" s="44"/>
      <c r="K25" s="39" t="str">
        <f>VLOOKUP(L23,'結果入力表'!$B$2:$J$212,2,FALSE)</f>
        <v>HRC</v>
      </c>
      <c r="L25" s="40"/>
      <c r="M25" s="41"/>
      <c r="N25" s="42" t="s">
        <v>29</v>
      </c>
      <c r="O25" s="43" t="str">
        <f>VLOOKUP(L23,'結果入力表'!$B$2:$J$212,9,FALSE)</f>
        <v>SBC</v>
      </c>
      <c r="P25" s="40"/>
      <c r="Q25" s="44"/>
      <c r="T25" s="39" t="str">
        <f>VLOOKUP(U23,'結果入力表'!$B$2:$J$212,2,FALSE)</f>
        <v>HRC</v>
      </c>
      <c r="U25" s="40"/>
      <c r="V25" s="41"/>
      <c r="W25" s="42" t="s">
        <v>29</v>
      </c>
      <c r="X25" s="43" t="str">
        <f>VLOOKUP(U23,'結果入力表'!$B$2:$J$212,9,FALSE)</f>
        <v>SBC</v>
      </c>
      <c r="Y25" s="40"/>
      <c r="Z25" s="44"/>
      <c r="AC25" s="39" t="str">
        <f>VLOOKUP(AD23,'結果入力表'!$B$2:$J$212,2,FALSE)</f>
        <v>HRC</v>
      </c>
      <c r="AD25" s="40"/>
      <c r="AE25" s="41"/>
      <c r="AF25" s="42" t="s">
        <v>29</v>
      </c>
      <c r="AG25" s="43" t="str">
        <f>VLOOKUP(AD23,'結果入力表'!$B$2:$J$212,9,FALSE)</f>
        <v>SBC</v>
      </c>
      <c r="AH25" s="40"/>
      <c r="AI25" s="44"/>
      <c r="AL25" s="39" t="str">
        <f>VLOOKUP(AM23,'結果入力表'!$B$2:$J$212,2,FALSE)</f>
        <v>HRC</v>
      </c>
      <c r="AM25" s="40"/>
      <c r="AN25" s="41"/>
      <c r="AO25" s="42" t="s">
        <v>29</v>
      </c>
      <c r="AP25" s="43" t="str">
        <f>VLOOKUP(AM23,'結果入力表'!$B$2:$J$212,9,FALSE)</f>
        <v>SBC</v>
      </c>
      <c r="AQ25" s="40"/>
      <c r="AR25" s="44"/>
      <c r="AU25" s="39" t="str">
        <f>VLOOKUP(AV23,'結果入力表'!$B$2:$J$212,2,FALSE)</f>
        <v>HRC</v>
      </c>
      <c r="AV25" s="40"/>
      <c r="AW25" s="41"/>
      <c r="AX25" s="42" t="s">
        <v>29</v>
      </c>
      <c r="AY25" s="43" t="str">
        <f>VLOOKUP(AV23,'結果入力表'!$B$2:$J$212,9,FALSE)</f>
        <v>SBC</v>
      </c>
      <c r="AZ25" s="40"/>
      <c r="BA25" s="44"/>
      <c r="BD25" s="39" t="str">
        <f>VLOOKUP(BE23,'結果入力表'!$B$2:$J$212,2,FALSE)</f>
        <v>HRC</v>
      </c>
      <c r="BE25" s="40"/>
      <c r="BF25" s="41"/>
      <c r="BG25" s="42" t="s">
        <v>29</v>
      </c>
      <c r="BH25" s="43" t="str">
        <f>VLOOKUP(BE23,'結果入力表'!$B$2:$J$212,9,FALSE)</f>
        <v>SBC</v>
      </c>
      <c r="BI25" s="40"/>
      <c r="BJ25" s="44"/>
    </row>
    <row r="26" spans="2:62" ht="46.5" customHeight="1">
      <c r="B26" s="438" t="str">
        <f>VLOOKUP(C23,'結果入力表'!$B$2:$J$212,3,FALSE)</f>
        <v>堂園 雅也</v>
      </c>
      <c r="C26" s="19"/>
      <c r="D26" s="20"/>
      <c r="E26" s="46" t="s">
        <v>30</v>
      </c>
      <c r="F26" s="437" t="str">
        <f>VLOOKUP(C23,'結果入力表'!$B$2:$J$212,8,FALSE)</f>
        <v>西峰 久祐</v>
      </c>
      <c r="G26" s="19"/>
      <c r="H26" s="48"/>
      <c r="K26" s="438" t="str">
        <f>VLOOKUP(L23,'結果入力表'!$B$2:$J$212,3,FALSE)</f>
        <v>長井　充</v>
      </c>
      <c r="L26" s="19"/>
      <c r="M26" s="20"/>
      <c r="N26" s="46" t="s">
        <v>30</v>
      </c>
      <c r="O26" s="437" t="str">
        <f>VLOOKUP(L23,'結果入力表'!$B$2:$J$212,8,FALSE)</f>
        <v>長田 智紀</v>
      </c>
      <c r="P26" s="19"/>
      <c r="Q26" s="48"/>
      <c r="T26" s="438" t="str">
        <f>VLOOKUP(U23,'結果入力表'!$B$2:$J$212,3,FALSE)</f>
        <v>藤中健太郎</v>
      </c>
      <c r="U26" s="19"/>
      <c r="V26" s="20"/>
      <c r="W26" s="46" t="s">
        <v>30</v>
      </c>
      <c r="X26" s="437" t="str">
        <f>VLOOKUP(U23,'結果入力表'!$B$2:$J$212,8,FALSE)</f>
        <v>大橋 義治</v>
      </c>
      <c r="Y26" s="19"/>
      <c r="Z26" s="48"/>
      <c r="AC26" s="438" t="str">
        <f>VLOOKUP(AD23,'結果入力表'!$B$2:$J$212,3,FALSE)</f>
        <v>後藤 勇治</v>
      </c>
      <c r="AD26" s="19"/>
      <c r="AE26" s="20"/>
      <c r="AF26" s="46" t="s">
        <v>30</v>
      </c>
      <c r="AG26" s="437" t="str">
        <f>VLOOKUP(AD23,'結果入力表'!$B$2:$J$212,8,FALSE)</f>
        <v>山中 康寛</v>
      </c>
      <c r="AH26" s="19"/>
      <c r="AI26" s="48"/>
      <c r="AL26" s="438" t="str">
        <f>VLOOKUP(AM23,'結果入力表'!$B$2:$J$212,3,FALSE)</f>
        <v>丹羽 俊也</v>
      </c>
      <c r="AM26" s="19"/>
      <c r="AN26" s="20"/>
      <c r="AO26" s="46" t="s">
        <v>30</v>
      </c>
      <c r="AP26" s="437" t="str">
        <f>VLOOKUP(AM23,'結果入力表'!$B$2:$J$212,8,FALSE)</f>
        <v>高島 太一</v>
      </c>
      <c r="AQ26" s="19"/>
      <c r="AR26" s="48"/>
      <c r="AU26" s="438" t="str">
        <f>VLOOKUP(AV23,'結果入力表'!$B$2:$J$212,3,FALSE)</f>
        <v>平井 洸志</v>
      </c>
      <c r="AV26" s="19"/>
      <c r="AW26" s="20"/>
      <c r="AX26" s="46" t="s">
        <v>30</v>
      </c>
      <c r="AY26" s="437" t="str">
        <f>VLOOKUP(AV23,'結果入力表'!$B$2:$J$212,8,FALSE)</f>
        <v>須藤 浩章</v>
      </c>
      <c r="AZ26" s="19"/>
      <c r="BA26" s="48"/>
      <c r="BD26" s="438" t="str">
        <f>VLOOKUP(BE23,'結果入力表'!$B$2:$J$212,3,FALSE)</f>
        <v>栃下 恭子</v>
      </c>
      <c r="BE26" s="19"/>
      <c r="BF26" s="20"/>
      <c r="BG26" s="46" t="s">
        <v>30</v>
      </c>
      <c r="BH26" s="437" t="str">
        <f>VLOOKUP(BE23,'結果入力表'!$B$2:$J$212,8,FALSE)</f>
        <v>酒井 美希</v>
      </c>
      <c r="BI26" s="19"/>
      <c r="BJ26" s="48"/>
    </row>
    <row r="27" spans="2:62" ht="37.5" customHeight="1">
      <c r="B27" s="49"/>
      <c r="C27" s="19"/>
      <c r="D27" s="20"/>
      <c r="E27" s="46" t="s">
        <v>31</v>
      </c>
      <c r="F27" s="50"/>
      <c r="G27" s="19"/>
      <c r="H27" s="48"/>
      <c r="K27" s="49"/>
      <c r="L27" s="19"/>
      <c r="M27" s="20"/>
      <c r="N27" s="46" t="s">
        <v>31</v>
      </c>
      <c r="O27" s="50"/>
      <c r="P27" s="19"/>
      <c r="Q27" s="48"/>
      <c r="T27" s="49"/>
      <c r="U27" s="19"/>
      <c r="V27" s="20"/>
      <c r="W27" s="46" t="s">
        <v>31</v>
      </c>
      <c r="X27" s="50"/>
      <c r="Y27" s="19"/>
      <c r="Z27" s="48"/>
      <c r="AC27" s="49"/>
      <c r="AD27" s="19"/>
      <c r="AE27" s="20"/>
      <c r="AF27" s="46" t="s">
        <v>31</v>
      </c>
      <c r="AG27" s="50"/>
      <c r="AH27" s="19"/>
      <c r="AI27" s="48"/>
      <c r="AL27" s="49"/>
      <c r="AM27" s="19"/>
      <c r="AN27" s="20"/>
      <c r="AO27" s="46" t="s">
        <v>31</v>
      </c>
      <c r="AP27" s="50"/>
      <c r="AQ27" s="19"/>
      <c r="AR27" s="48"/>
      <c r="AU27" s="49"/>
      <c r="AV27" s="19"/>
      <c r="AW27" s="20"/>
      <c r="AX27" s="46" t="s">
        <v>31</v>
      </c>
      <c r="AY27" s="50"/>
      <c r="AZ27" s="19"/>
      <c r="BA27" s="48"/>
      <c r="BD27" s="49"/>
      <c r="BE27" s="19"/>
      <c r="BF27" s="20"/>
      <c r="BG27" s="46" t="s">
        <v>31</v>
      </c>
      <c r="BH27" s="50"/>
      <c r="BI27" s="19"/>
      <c r="BJ27" s="48"/>
    </row>
    <row r="28" spans="2:62" ht="37.5" customHeight="1" thickBot="1">
      <c r="B28" s="51"/>
      <c r="C28" s="52"/>
      <c r="D28" s="53"/>
      <c r="E28" s="54" t="s">
        <v>32</v>
      </c>
      <c r="F28" s="55"/>
      <c r="G28" s="52"/>
      <c r="H28" s="56"/>
      <c r="K28" s="51"/>
      <c r="L28" s="52"/>
      <c r="M28" s="53"/>
      <c r="N28" s="54" t="s">
        <v>32</v>
      </c>
      <c r="O28" s="55"/>
      <c r="P28" s="52"/>
      <c r="Q28" s="56"/>
      <c r="T28" s="51"/>
      <c r="U28" s="52"/>
      <c r="V28" s="53"/>
      <c r="W28" s="54" t="s">
        <v>32</v>
      </c>
      <c r="X28" s="55"/>
      <c r="Y28" s="52"/>
      <c r="Z28" s="56"/>
      <c r="AC28" s="51"/>
      <c r="AD28" s="52"/>
      <c r="AE28" s="53"/>
      <c r="AF28" s="54" t="s">
        <v>32</v>
      </c>
      <c r="AG28" s="55"/>
      <c r="AH28" s="52"/>
      <c r="AI28" s="56"/>
      <c r="AL28" s="51"/>
      <c r="AM28" s="52"/>
      <c r="AN28" s="53"/>
      <c r="AO28" s="54" t="s">
        <v>32</v>
      </c>
      <c r="AP28" s="55"/>
      <c r="AQ28" s="52"/>
      <c r="AR28" s="56"/>
      <c r="AU28" s="51"/>
      <c r="AV28" s="52"/>
      <c r="AW28" s="53"/>
      <c r="AX28" s="54" t="s">
        <v>32</v>
      </c>
      <c r="AY28" s="55"/>
      <c r="AZ28" s="52"/>
      <c r="BA28" s="56"/>
      <c r="BD28" s="51"/>
      <c r="BE28" s="52"/>
      <c r="BF28" s="53"/>
      <c r="BG28" s="54" t="s">
        <v>32</v>
      </c>
      <c r="BH28" s="55"/>
      <c r="BI28" s="52"/>
      <c r="BJ28" s="56"/>
    </row>
    <row r="30" spans="4:62" ht="15" customHeight="1">
      <c r="D30" s="22"/>
      <c r="E30" s="22"/>
      <c r="F30" s="21" t="s">
        <v>37</v>
      </c>
      <c r="G30" s="441"/>
      <c r="H30" s="30"/>
      <c r="M30" s="22"/>
      <c r="N30" s="22"/>
      <c r="O30" s="21" t="s">
        <v>37</v>
      </c>
      <c r="P30" s="30"/>
      <c r="Q30" s="30"/>
      <c r="V30" s="22"/>
      <c r="W30" s="22"/>
      <c r="X30" s="21" t="s">
        <v>37</v>
      </c>
      <c r="Y30" s="30"/>
      <c r="Z30" s="30"/>
      <c r="AE30" s="22"/>
      <c r="AF30" s="22"/>
      <c r="AG30" s="21" t="s">
        <v>37</v>
      </c>
      <c r="AH30" s="30"/>
      <c r="AI30" s="30"/>
      <c r="AN30" s="22"/>
      <c r="AO30" s="22"/>
      <c r="AP30" s="21" t="s">
        <v>37</v>
      </c>
      <c r="AQ30" s="30"/>
      <c r="AR30" s="30"/>
      <c r="AW30" s="22"/>
      <c r="AX30" s="22"/>
      <c r="AY30" s="21" t="s">
        <v>37</v>
      </c>
      <c r="AZ30" s="30"/>
      <c r="BA30" s="30"/>
      <c r="BF30" s="22"/>
      <c r="BG30" s="22"/>
      <c r="BH30" s="21" t="s">
        <v>37</v>
      </c>
      <c r="BI30" s="30"/>
      <c r="BJ30" s="30"/>
    </row>
    <row r="31" spans="2:64" ht="15" customHeight="1">
      <c r="B31" s="23" t="str">
        <f>'★個人成績表★'!$A$1</f>
        <v>第28回　京阪神和奈滋対抗戦　　　(大阪；玉出エース)</v>
      </c>
      <c r="C31" s="36"/>
      <c r="D31" s="36"/>
      <c r="E31" s="36"/>
      <c r="F31" s="36"/>
      <c r="G31" s="36"/>
      <c r="H31" s="37"/>
      <c r="K31" s="23" t="str">
        <f>'★個人成績表★'!$A$1</f>
        <v>第28回　京阪神和奈滋対抗戦　　　(大阪；玉出エース)</v>
      </c>
      <c r="L31" s="36"/>
      <c r="M31" s="36"/>
      <c r="N31" s="36"/>
      <c r="O31" s="36"/>
      <c r="P31" s="36"/>
      <c r="Q31" s="37"/>
      <c r="T31" s="23" t="str">
        <f>'★個人成績表★'!$A$1</f>
        <v>第28回　京阪神和奈滋対抗戦　　　(大阪；玉出エース)</v>
      </c>
      <c r="U31" s="36"/>
      <c r="V31" s="36"/>
      <c r="W31" s="36"/>
      <c r="X31" s="36"/>
      <c r="Y31" s="36"/>
      <c r="Z31" s="37"/>
      <c r="AC31" s="23" t="str">
        <f>'★個人成績表★'!$A$1</f>
        <v>第28回　京阪神和奈滋対抗戦　　　(大阪；玉出エース)</v>
      </c>
      <c r="AD31" s="36"/>
      <c r="AE31" s="36"/>
      <c r="AF31" s="36"/>
      <c r="AG31" s="36"/>
      <c r="AH31" s="36"/>
      <c r="AI31" s="37"/>
      <c r="AL31" s="23" t="str">
        <f>'★個人成績表★'!$A$1</f>
        <v>第28回　京阪神和奈滋対抗戦　　　(大阪；玉出エース)</v>
      </c>
      <c r="AM31" s="36"/>
      <c r="AN31" s="36"/>
      <c r="AO31" s="36"/>
      <c r="AP31" s="36"/>
      <c r="AQ31" s="36"/>
      <c r="AR31" s="37"/>
      <c r="AU31" s="23" t="str">
        <f>'★個人成績表★'!$A$1</f>
        <v>第28回　京阪神和奈滋対抗戦　　　(大阪；玉出エース)</v>
      </c>
      <c r="AV31" s="36"/>
      <c r="AW31" s="36"/>
      <c r="AX31" s="36"/>
      <c r="AY31" s="36"/>
      <c r="AZ31" s="36"/>
      <c r="BA31" s="37"/>
      <c r="BD31" s="23" t="str">
        <f>'★個人成績表★'!$A$1</f>
        <v>第28回　京阪神和奈滋対抗戦　　　(大阪；玉出エース)</v>
      </c>
      <c r="BE31" s="36"/>
      <c r="BF31" s="36"/>
      <c r="BG31" s="36"/>
      <c r="BH31" s="36"/>
      <c r="BI31" s="36"/>
      <c r="BJ31" s="37"/>
      <c r="BL31" t="s">
        <v>33</v>
      </c>
    </row>
    <row r="33" spans="2:61" s="38" customFormat="1" ht="15" customHeight="1">
      <c r="B33" s="22" t="s">
        <v>35</v>
      </c>
      <c r="C33" s="30">
        <f>BE23+1</f>
        <v>15</v>
      </c>
      <c r="F33" s="22" t="s">
        <v>36</v>
      </c>
      <c r="G33" s="30"/>
      <c r="K33" s="22" t="s">
        <v>35</v>
      </c>
      <c r="L33" s="30">
        <f>C33+1</f>
        <v>16</v>
      </c>
      <c r="O33" s="22" t="s">
        <v>36</v>
      </c>
      <c r="P33" s="30"/>
      <c r="T33" s="22" t="s">
        <v>35</v>
      </c>
      <c r="U33" s="30">
        <f>L33+1</f>
        <v>17</v>
      </c>
      <c r="X33" s="22" t="s">
        <v>36</v>
      </c>
      <c r="Y33" s="30"/>
      <c r="AC33" s="22" t="s">
        <v>35</v>
      </c>
      <c r="AD33" s="30">
        <f>U33+1</f>
        <v>18</v>
      </c>
      <c r="AG33" s="22" t="s">
        <v>36</v>
      </c>
      <c r="AH33" s="30"/>
      <c r="AL33" s="22" t="s">
        <v>35</v>
      </c>
      <c r="AM33" s="30">
        <f>AD33+1</f>
        <v>19</v>
      </c>
      <c r="AP33" s="22" t="s">
        <v>36</v>
      </c>
      <c r="AQ33" s="30"/>
      <c r="AU33" s="22" t="s">
        <v>35</v>
      </c>
      <c r="AV33" s="30">
        <f>AM33+1</f>
        <v>20</v>
      </c>
      <c r="AY33" s="22" t="s">
        <v>36</v>
      </c>
      <c r="AZ33" s="30"/>
      <c r="BD33" s="22" t="s">
        <v>35</v>
      </c>
      <c r="BE33" s="30">
        <f>AV33+1</f>
        <v>21</v>
      </c>
      <c r="BH33" s="22" t="s">
        <v>36</v>
      </c>
      <c r="BI33" s="30"/>
    </row>
    <row r="34" ht="15" customHeight="1" thickBot="1"/>
    <row r="35" spans="2:62" ht="31.5" customHeight="1">
      <c r="B35" s="39" t="str">
        <f>VLOOKUP(C33,'結果入力表'!$B$2:$J$212,2,FALSE)</f>
        <v>KRC</v>
      </c>
      <c r="C35" s="40"/>
      <c r="D35" s="41"/>
      <c r="E35" s="42" t="s">
        <v>29</v>
      </c>
      <c r="F35" s="43" t="str">
        <f>VLOOKUP(C33,'結果入力表'!$B$2:$J$212,9,FALSE)</f>
        <v>WRC</v>
      </c>
      <c r="G35" s="40"/>
      <c r="H35" s="44"/>
      <c r="K35" s="39" t="str">
        <f>VLOOKUP(L33,'結果入力表'!$B$2:$J$212,2,FALSE)</f>
        <v>KRC</v>
      </c>
      <c r="L35" s="40"/>
      <c r="M35" s="41"/>
      <c r="N35" s="42" t="s">
        <v>29</v>
      </c>
      <c r="O35" s="43" t="str">
        <f>VLOOKUP(L33,'結果入力表'!$B$2:$J$212,9,FALSE)</f>
        <v>WRC</v>
      </c>
      <c r="P35" s="40"/>
      <c r="Q35" s="44"/>
      <c r="T35" s="39" t="str">
        <f>VLOOKUP(U33,'結果入力表'!$B$2:$J$212,2,FALSE)</f>
        <v>KRC</v>
      </c>
      <c r="U35" s="40"/>
      <c r="V35" s="41"/>
      <c r="W35" s="42" t="s">
        <v>29</v>
      </c>
      <c r="X35" s="43" t="str">
        <f>VLOOKUP(U33,'結果入力表'!$B$2:$J$212,9,FALSE)</f>
        <v>WRC</v>
      </c>
      <c r="Y35" s="40"/>
      <c r="Z35" s="44"/>
      <c r="AC35" s="39" t="str">
        <f>VLOOKUP(AD33,'結果入力表'!$B$2:$J$212,2,FALSE)</f>
        <v>KRC</v>
      </c>
      <c r="AD35" s="40"/>
      <c r="AE35" s="41"/>
      <c r="AF35" s="42" t="s">
        <v>29</v>
      </c>
      <c r="AG35" s="43" t="str">
        <f>VLOOKUP(AD33,'結果入力表'!$B$2:$J$212,9,FALSE)</f>
        <v>WRC</v>
      </c>
      <c r="AH35" s="40"/>
      <c r="AI35" s="44"/>
      <c r="AL35" s="39" t="str">
        <f>VLOOKUP(AM33,'結果入力表'!$B$2:$J$212,2,FALSE)</f>
        <v>KRC</v>
      </c>
      <c r="AM35" s="40"/>
      <c r="AN35" s="41"/>
      <c r="AO35" s="42" t="s">
        <v>29</v>
      </c>
      <c r="AP35" s="43" t="str">
        <f>VLOOKUP(AM33,'結果入力表'!$B$2:$J$212,9,FALSE)</f>
        <v>WRC</v>
      </c>
      <c r="AQ35" s="40"/>
      <c r="AR35" s="44"/>
      <c r="AU35" s="39" t="str">
        <f>VLOOKUP(AV33,'結果入力表'!$B$2:$J$212,2,FALSE)</f>
        <v>KRC</v>
      </c>
      <c r="AV35" s="40"/>
      <c r="AW35" s="41"/>
      <c r="AX35" s="42" t="s">
        <v>29</v>
      </c>
      <c r="AY35" s="43" t="str">
        <f>VLOOKUP(AV33,'結果入力表'!$B$2:$J$212,9,FALSE)</f>
        <v>WRC</v>
      </c>
      <c r="AZ35" s="40"/>
      <c r="BA35" s="44"/>
      <c r="BD35" s="39" t="str">
        <f>VLOOKUP(BE33,'結果入力表'!$B$2:$J$212,2,FALSE)</f>
        <v>KRC</v>
      </c>
      <c r="BE35" s="40"/>
      <c r="BF35" s="41"/>
      <c r="BG35" s="42" t="s">
        <v>29</v>
      </c>
      <c r="BH35" s="43" t="str">
        <f>VLOOKUP(BE33,'結果入力表'!$B$2:$J$212,9,FALSE)</f>
        <v>WRC</v>
      </c>
      <c r="BI35" s="40"/>
      <c r="BJ35" s="44"/>
    </row>
    <row r="36" spans="2:62" ht="46.5" customHeight="1">
      <c r="B36" s="438" t="str">
        <f>VLOOKUP(C33,'結果入力表'!$B$2:$J$212,3,FALSE)</f>
        <v>折戸 和幸</v>
      </c>
      <c r="C36" s="19"/>
      <c r="D36" s="20"/>
      <c r="E36" s="46" t="s">
        <v>30</v>
      </c>
      <c r="F36" s="437" t="str">
        <f>VLOOKUP(C33,'結果入力表'!$B$2:$J$212,8,FALSE)</f>
        <v>末岡　修</v>
      </c>
      <c r="G36" s="19"/>
      <c r="H36" s="48"/>
      <c r="K36" s="438" t="str">
        <f>VLOOKUP(L33,'結果入力表'!$B$2:$J$212,3,FALSE)</f>
        <v>今村 哲也</v>
      </c>
      <c r="L36" s="19"/>
      <c r="M36" s="20"/>
      <c r="N36" s="46" t="s">
        <v>30</v>
      </c>
      <c r="O36" s="437" t="str">
        <f>VLOOKUP(L33,'結果入力表'!$B$2:$J$212,8,FALSE)</f>
        <v>杉本 博章</v>
      </c>
      <c r="P36" s="19"/>
      <c r="Q36" s="48"/>
      <c r="T36" s="438" t="str">
        <f>VLOOKUP(U33,'結果入力表'!$B$2:$J$212,3,FALSE)</f>
        <v>小山 久博</v>
      </c>
      <c r="U36" s="19"/>
      <c r="V36" s="20"/>
      <c r="W36" s="46" t="s">
        <v>30</v>
      </c>
      <c r="X36" s="437" t="str">
        <f>VLOOKUP(U33,'結果入力表'!$B$2:$J$212,8,FALSE)</f>
        <v>丹次 力良</v>
      </c>
      <c r="Y36" s="19"/>
      <c r="Z36" s="48"/>
      <c r="AC36" s="438" t="str">
        <f>VLOOKUP(AD33,'結果入力表'!$B$2:$J$212,3,FALSE)</f>
        <v>伊庭 保久</v>
      </c>
      <c r="AD36" s="19"/>
      <c r="AE36" s="20"/>
      <c r="AF36" s="46" t="s">
        <v>30</v>
      </c>
      <c r="AG36" s="437" t="str">
        <f>VLOOKUP(AD33,'結果入力表'!$B$2:$J$212,8,FALSE)</f>
        <v>芝先 泰生</v>
      </c>
      <c r="AH36" s="19"/>
      <c r="AI36" s="48"/>
      <c r="AL36" s="438" t="str">
        <f>VLOOKUP(AM33,'結果入力表'!$B$2:$J$212,3,FALSE)</f>
        <v>菊池 靖正</v>
      </c>
      <c r="AM36" s="19"/>
      <c r="AN36" s="20"/>
      <c r="AO36" s="46" t="s">
        <v>30</v>
      </c>
      <c r="AP36" s="437" t="str">
        <f>VLOOKUP(AM33,'結果入力表'!$B$2:$J$212,8,FALSE)</f>
        <v>岸上 賢一</v>
      </c>
      <c r="AQ36" s="19"/>
      <c r="AR36" s="48"/>
      <c r="AU36" s="438" t="str">
        <f>VLOOKUP(AV33,'結果入力表'!$B$2:$J$212,3,FALSE)</f>
        <v>田附 裕次</v>
      </c>
      <c r="AV36" s="19"/>
      <c r="AW36" s="20"/>
      <c r="AX36" s="46" t="s">
        <v>30</v>
      </c>
      <c r="AY36" s="437" t="str">
        <f>VLOOKUP(AV33,'結果入力表'!$B$2:$J$212,8,FALSE)</f>
        <v>中本 雅大</v>
      </c>
      <c r="AZ36" s="19"/>
      <c r="BA36" s="48"/>
      <c r="BD36" s="438" t="str">
        <f>VLOOKUP(BE33,'結果入力表'!$B$2:$J$212,3,FALSE)</f>
        <v>森田由佳里</v>
      </c>
      <c r="BE36" s="19"/>
      <c r="BF36" s="20"/>
      <c r="BG36" s="46" t="s">
        <v>30</v>
      </c>
      <c r="BH36" s="437" t="str">
        <f>VLOOKUP(BE33,'結果入力表'!$B$2:$J$212,8,FALSE)</f>
        <v>松房ゆかり</v>
      </c>
      <c r="BI36" s="19"/>
      <c r="BJ36" s="48"/>
    </row>
    <row r="37" spans="2:62" ht="37.5" customHeight="1">
      <c r="B37" s="49"/>
      <c r="C37" s="19"/>
      <c r="D37" s="20"/>
      <c r="E37" s="46" t="s">
        <v>31</v>
      </c>
      <c r="F37" s="50"/>
      <c r="G37" s="19"/>
      <c r="H37" s="48"/>
      <c r="K37" s="49"/>
      <c r="L37" s="19"/>
      <c r="M37" s="20"/>
      <c r="N37" s="46" t="s">
        <v>31</v>
      </c>
      <c r="O37" s="50"/>
      <c r="P37" s="19"/>
      <c r="Q37" s="48"/>
      <c r="T37" s="49"/>
      <c r="U37" s="19"/>
      <c r="V37" s="20"/>
      <c r="W37" s="46" t="s">
        <v>31</v>
      </c>
      <c r="X37" s="50"/>
      <c r="Y37" s="19"/>
      <c r="Z37" s="48"/>
      <c r="AC37" s="49"/>
      <c r="AD37" s="19"/>
      <c r="AE37" s="20"/>
      <c r="AF37" s="46" t="s">
        <v>31</v>
      </c>
      <c r="AG37" s="50"/>
      <c r="AH37" s="19"/>
      <c r="AI37" s="48"/>
      <c r="AL37" s="49"/>
      <c r="AM37" s="19"/>
      <c r="AN37" s="20"/>
      <c r="AO37" s="46" t="s">
        <v>31</v>
      </c>
      <c r="AP37" s="50"/>
      <c r="AQ37" s="19"/>
      <c r="AR37" s="48"/>
      <c r="AU37" s="49"/>
      <c r="AV37" s="19"/>
      <c r="AW37" s="20"/>
      <c r="AX37" s="46" t="s">
        <v>31</v>
      </c>
      <c r="AY37" s="50"/>
      <c r="AZ37" s="19"/>
      <c r="BA37" s="48"/>
      <c r="BD37" s="49"/>
      <c r="BE37" s="19"/>
      <c r="BF37" s="20"/>
      <c r="BG37" s="46" t="s">
        <v>31</v>
      </c>
      <c r="BH37" s="50"/>
      <c r="BI37" s="19"/>
      <c r="BJ37" s="48"/>
    </row>
    <row r="38" spans="2:62" ht="37.5" customHeight="1" thickBot="1">
      <c r="B38" s="51"/>
      <c r="C38" s="52"/>
      <c r="D38" s="53"/>
      <c r="E38" s="54" t="s">
        <v>32</v>
      </c>
      <c r="F38" s="55"/>
      <c r="G38" s="52"/>
      <c r="H38" s="56"/>
      <c r="K38" s="51"/>
      <c r="L38" s="52"/>
      <c r="M38" s="53"/>
      <c r="N38" s="54" t="s">
        <v>32</v>
      </c>
      <c r="O38" s="55"/>
      <c r="P38" s="52"/>
      <c r="Q38" s="56"/>
      <c r="T38" s="51"/>
      <c r="U38" s="52"/>
      <c r="V38" s="53"/>
      <c r="W38" s="54" t="s">
        <v>32</v>
      </c>
      <c r="X38" s="55"/>
      <c r="Y38" s="52"/>
      <c r="Z38" s="56"/>
      <c r="AC38" s="51"/>
      <c r="AD38" s="52"/>
      <c r="AE38" s="53"/>
      <c r="AF38" s="54" t="s">
        <v>32</v>
      </c>
      <c r="AG38" s="55"/>
      <c r="AH38" s="52"/>
      <c r="AI38" s="56"/>
      <c r="AL38" s="51"/>
      <c r="AM38" s="52"/>
      <c r="AN38" s="53"/>
      <c r="AO38" s="54" t="s">
        <v>32</v>
      </c>
      <c r="AP38" s="55"/>
      <c r="AQ38" s="52"/>
      <c r="AR38" s="56"/>
      <c r="AU38" s="51"/>
      <c r="AV38" s="52"/>
      <c r="AW38" s="53"/>
      <c r="AX38" s="54" t="s">
        <v>32</v>
      </c>
      <c r="AY38" s="55"/>
      <c r="AZ38" s="52"/>
      <c r="BA38" s="56"/>
      <c r="BD38" s="51"/>
      <c r="BE38" s="52"/>
      <c r="BF38" s="53"/>
      <c r="BG38" s="54" t="s">
        <v>32</v>
      </c>
      <c r="BH38" s="55"/>
      <c r="BI38" s="52"/>
      <c r="BJ38" s="56"/>
    </row>
    <row r="40" spans="4:62" ht="15" customHeight="1">
      <c r="D40" s="22"/>
      <c r="E40" s="22"/>
      <c r="F40" s="21" t="s">
        <v>37</v>
      </c>
      <c r="G40" s="441"/>
      <c r="H40" s="30"/>
      <c r="M40" s="22"/>
      <c r="N40" s="22"/>
      <c r="O40" s="21" t="s">
        <v>37</v>
      </c>
      <c r="P40" s="30"/>
      <c r="Q40" s="30"/>
      <c r="V40" s="22"/>
      <c r="W40" s="22"/>
      <c r="X40" s="21" t="s">
        <v>37</v>
      </c>
      <c r="Y40" s="30"/>
      <c r="Z40" s="30"/>
      <c r="AE40" s="22"/>
      <c r="AF40" s="22"/>
      <c r="AG40" s="21" t="s">
        <v>37</v>
      </c>
      <c r="AH40" s="30"/>
      <c r="AI40" s="30"/>
      <c r="AN40" s="22"/>
      <c r="AO40" s="22"/>
      <c r="AP40" s="21" t="s">
        <v>37</v>
      </c>
      <c r="AQ40" s="30"/>
      <c r="AR40" s="30"/>
      <c r="AW40" s="22"/>
      <c r="AX40" s="22"/>
      <c r="AY40" s="21" t="s">
        <v>37</v>
      </c>
      <c r="AZ40" s="30"/>
      <c r="BA40" s="30"/>
      <c r="BF40" s="22"/>
      <c r="BG40" s="22"/>
      <c r="BH40" s="21" t="s">
        <v>37</v>
      </c>
      <c r="BI40" s="30"/>
      <c r="BJ40" s="30"/>
    </row>
    <row r="41" spans="2:64" ht="15" customHeight="1">
      <c r="B41" s="23" t="str">
        <f>'★個人成績表★'!$A$1</f>
        <v>第28回　京阪神和奈滋対抗戦　　　(大阪；玉出エース)</v>
      </c>
      <c r="C41" s="36"/>
      <c r="D41" s="36"/>
      <c r="E41" s="36"/>
      <c r="F41" s="36"/>
      <c r="G41" s="36"/>
      <c r="H41" s="37"/>
      <c r="K41" s="23" t="str">
        <f>'★個人成績表★'!$A$1</f>
        <v>第28回　京阪神和奈滋対抗戦　　　(大阪；玉出エース)</v>
      </c>
      <c r="L41" s="36"/>
      <c r="M41" s="36"/>
      <c r="N41" s="36"/>
      <c r="O41" s="36"/>
      <c r="P41" s="36"/>
      <c r="Q41" s="37"/>
      <c r="T41" s="23" t="str">
        <f>'★個人成績表★'!$A$1</f>
        <v>第28回　京阪神和奈滋対抗戦　　　(大阪；玉出エース)</v>
      </c>
      <c r="U41" s="36"/>
      <c r="V41" s="36"/>
      <c r="W41" s="36"/>
      <c r="X41" s="36"/>
      <c r="Y41" s="36"/>
      <c r="Z41" s="37"/>
      <c r="AC41" s="23" t="str">
        <f>'★個人成績表★'!$A$1</f>
        <v>第28回　京阪神和奈滋対抗戦　　　(大阪；玉出エース)</v>
      </c>
      <c r="AD41" s="36"/>
      <c r="AE41" s="36"/>
      <c r="AF41" s="36"/>
      <c r="AG41" s="36"/>
      <c r="AH41" s="36"/>
      <c r="AI41" s="37"/>
      <c r="AL41" s="23" t="str">
        <f>'★個人成績表★'!$A$1</f>
        <v>第28回　京阪神和奈滋対抗戦　　　(大阪；玉出エース)</v>
      </c>
      <c r="AM41" s="36"/>
      <c r="AN41" s="36"/>
      <c r="AO41" s="36"/>
      <c r="AP41" s="36"/>
      <c r="AQ41" s="36"/>
      <c r="AR41" s="37"/>
      <c r="AU41" s="23" t="str">
        <f>'★個人成績表★'!$A$1</f>
        <v>第28回　京阪神和奈滋対抗戦　　　(大阪；玉出エース)</v>
      </c>
      <c r="AV41" s="36"/>
      <c r="AW41" s="36"/>
      <c r="AX41" s="36"/>
      <c r="AY41" s="36"/>
      <c r="AZ41" s="36"/>
      <c r="BA41" s="37"/>
      <c r="BD41" s="23" t="str">
        <f>'★個人成績表★'!$A$1</f>
        <v>第28回　京阪神和奈滋対抗戦　　　(大阪；玉出エース)</v>
      </c>
      <c r="BE41" s="36"/>
      <c r="BF41" s="36"/>
      <c r="BG41" s="36"/>
      <c r="BH41" s="36"/>
      <c r="BI41" s="36"/>
      <c r="BJ41" s="37"/>
      <c r="BL41" t="s">
        <v>33</v>
      </c>
    </row>
    <row r="43" spans="2:61" s="38" customFormat="1" ht="15" customHeight="1">
      <c r="B43" s="22" t="s">
        <v>35</v>
      </c>
      <c r="C43" s="30">
        <f>BE33+1</f>
        <v>22</v>
      </c>
      <c r="F43" s="22" t="s">
        <v>36</v>
      </c>
      <c r="G43" s="30"/>
      <c r="K43" s="22" t="s">
        <v>35</v>
      </c>
      <c r="L43" s="30">
        <f>C43+1</f>
        <v>23</v>
      </c>
      <c r="O43" s="22" t="s">
        <v>36</v>
      </c>
      <c r="P43" s="30"/>
      <c r="T43" s="22" t="s">
        <v>35</v>
      </c>
      <c r="U43" s="30">
        <f>L43+1</f>
        <v>24</v>
      </c>
      <c r="X43" s="22" t="s">
        <v>36</v>
      </c>
      <c r="Y43" s="30"/>
      <c r="AC43" s="22" t="s">
        <v>35</v>
      </c>
      <c r="AD43" s="30">
        <f>U43+1</f>
        <v>25</v>
      </c>
      <c r="AG43" s="22" t="s">
        <v>36</v>
      </c>
      <c r="AH43" s="30"/>
      <c r="AL43" s="22" t="s">
        <v>35</v>
      </c>
      <c r="AM43" s="30">
        <f>AD43+1</f>
        <v>26</v>
      </c>
      <c r="AP43" s="22" t="s">
        <v>36</v>
      </c>
      <c r="AQ43" s="30"/>
      <c r="AU43" s="22" t="s">
        <v>35</v>
      </c>
      <c r="AV43" s="30">
        <f>AM43+1</f>
        <v>27</v>
      </c>
      <c r="AY43" s="22" t="s">
        <v>36</v>
      </c>
      <c r="AZ43" s="30"/>
      <c r="BD43" s="22" t="s">
        <v>35</v>
      </c>
      <c r="BE43" s="30">
        <f>AV43+1</f>
        <v>28</v>
      </c>
      <c r="BH43" s="22" t="s">
        <v>36</v>
      </c>
      <c r="BI43" s="30"/>
    </row>
    <row r="44" ht="15" customHeight="1" thickBot="1"/>
    <row r="45" spans="2:62" ht="31.5" customHeight="1">
      <c r="B45" s="39" t="str">
        <f>VLOOKUP(C43,'結果入力表'!$B$2:$J$212,2,FALSE)</f>
        <v>HRC</v>
      </c>
      <c r="C45" s="40"/>
      <c r="D45" s="41"/>
      <c r="E45" s="42" t="s">
        <v>29</v>
      </c>
      <c r="F45" s="43" t="str">
        <f>VLOOKUP(C43,'結果入力表'!$B$2:$J$212,9,FALSE)</f>
        <v>ORC</v>
      </c>
      <c r="G45" s="40"/>
      <c r="H45" s="44"/>
      <c r="K45" s="39" t="str">
        <f>VLOOKUP(L43,'結果入力表'!$B$2:$J$212,2,FALSE)</f>
        <v>HRC</v>
      </c>
      <c r="L45" s="40"/>
      <c r="M45" s="41"/>
      <c r="N45" s="42" t="s">
        <v>29</v>
      </c>
      <c r="O45" s="43" t="str">
        <f>VLOOKUP(L43,'結果入力表'!$B$2:$J$212,9,FALSE)</f>
        <v>ORC</v>
      </c>
      <c r="P45" s="40"/>
      <c r="Q45" s="44"/>
      <c r="T45" s="39" t="str">
        <f>VLOOKUP(U43,'結果入力表'!$B$2:$J$212,2,FALSE)</f>
        <v>HRC</v>
      </c>
      <c r="U45" s="40"/>
      <c r="V45" s="41"/>
      <c r="W45" s="42" t="s">
        <v>29</v>
      </c>
      <c r="X45" s="43" t="str">
        <f>VLOOKUP(U43,'結果入力表'!$B$2:$J$212,9,FALSE)</f>
        <v>ORC</v>
      </c>
      <c r="Y45" s="40"/>
      <c r="Z45" s="44"/>
      <c r="AC45" s="39" t="str">
        <f>VLOOKUP(AD43,'結果入力表'!$B$2:$J$212,2,FALSE)</f>
        <v>HRC</v>
      </c>
      <c r="AD45" s="40"/>
      <c r="AE45" s="41"/>
      <c r="AF45" s="42" t="s">
        <v>29</v>
      </c>
      <c r="AG45" s="43" t="str">
        <f>VLOOKUP(AD43,'結果入力表'!$B$2:$J$212,9,FALSE)</f>
        <v>ORC</v>
      </c>
      <c r="AH45" s="40"/>
      <c r="AI45" s="44"/>
      <c r="AL45" s="39" t="str">
        <f>VLOOKUP(AM43,'結果入力表'!$B$2:$J$212,2,FALSE)</f>
        <v>HRC</v>
      </c>
      <c r="AM45" s="40"/>
      <c r="AN45" s="41"/>
      <c r="AO45" s="42" t="s">
        <v>29</v>
      </c>
      <c r="AP45" s="43" t="str">
        <f>VLOOKUP(AM43,'結果入力表'!$B$2:$J$212,9,FALSE)</f>
        <v>ORC</v>
      </c>
      <c r="AQ45" s="40"/>
      <c r="AR45" s="44"/>
      <c r="AU45" s="39" t="str">
        <f>VLOOKUP(AV43,'結果入力表'!$B$2:$J$212,2,FALSE)</f>
        <v>HRC</v>
      </c>
      <c r="AV45" s="40"/>
      <c r="AW45" s="41"/>
      <c r="AX45" s="42" t="s">
        <v>29</v>
      </c>
      <c r="AY45" s="43" t="str">
        <f>VLOOKUP(AV43,'結果入力表'!$B$2:$J$212,9,FALSE)</f>
        <v>ORC</v>
      </c>
      <c r="AZ45" s="40"/>
      <c r="BA45" s="44"/>
      <c r="BD45" s="39" t="str">
        <f>VLOOKUP(BE43,'結果入力表'!$B$2:$J$212,2,FALSE)</f>
        <v>HRC</v>
      </c>
      <c r="BE45" s="40"/>
      <c r="BF45" s="41"/>
      <c r="BG45" s="42" t="s">
        <v>29</v>
      </c>
      <c r="BH45" s="43" t="str">
        <f>VLOOKUP(BE43,'結果入力表'!$B$2:$J$212,9,FALSE)</f>
        <v>ORC</v>
      </c>
      <c r="BI45" s="40"/>
      <c r="BJ45" s="44"/>
    </row>
    <row r="46" spans="2:62" ht="46.5" customHeight="1">
      <c r="B46" s="438" t="str">
        <f>VLOOKUP(C43,'結果入力表'!$B$2:$J$212,3,FALSE)</f>
        <v>堂園 雅也</v>
      </c>
      <c r="C46" s="19"/>
      <c r="D46" s="20"/>
      <c r="E46" s="46" t="s">
        <v>30</v>
      </c>
      <c r="F46" s="437" t="str">
        <f>VLOOKUP(C43,'結果入力表'!$B$2:$J$212,8,FALSE)</f>
        <v>村上 泰辰</v>
      </c>
      <c r="G46" s="19"/>
      <c r="H46" s="48"/>
      <c r="K46" s="438" t="str">
        <f>VLOOKUP(L43,'結果入力表'!$B$2:$J$212,3,FALSE)</f>
        <v>長井　充</v>
      </c>
      <c r="L46" s="19"/>
      <c r="M46" s="20"/>
      <c r="N46" s="46" t="s">
        <v>30</v>
      </c>
      <c r="O46" s="437" t="str">
        <f>VLOOKUP(L43,'結果入力表'!$B$2:$J$212,8,FALSE)</f>
        <v>乾　伸綱</v>
      </c>
      <c r="P46" s="19"/>
      <c r="Q46" s="48"/>
      <c r="T46" s="438" t="str">
        <f>VLOOKUP(U43,'結果入力表'!$B$2:$J$212,3,FALSE)</f>
        <v>藤中健太郎</v>
      </c>
      <c r="U46" s="19"/>
      <c r="V46" s="20"/>
      <c r="W46" s="46" t="s">
        <v>30</v>
      </c>
      <c r="X46" s="437" t="str">
        <f>VLOOKUP(U43,'結果入力表'!$B$2:$J$212,8,FALSE)</f>
        <v>吉岡 保俊</v>
      </c>
      <c r="Y46" s="19"/>
      <c r="Z46" s="48"/>
      <c r="AC46" s="438" t="str">
        <f>VLOOKUP(AD43,'結果入力表'!$B$2:$J$212,3,FALSE)</f>
        <v>後藤 勇治</v>
      </c>
      <c r="AD46" s="19"/>
      <c r="AE46" s="20"/>
      <c r="AF46" s="46" t="s">
        <v>30</v>
      </c>
      <c r="AG46" s="437" t="str">
        <f>VLOOKUP(AD43,'結果入力表'!$B$2:$J$212,8,FALSE)</f>
        <v>山田 玄英</v>
      </c>
      <c r="AH46" s="19"/>
      <c r="AI46" s="48"/>
      <c r="AL46" s="438" t="str">
        <f>VLOOKUP(AM43,'結果入力表'!$B$2:$J$212,3,FALSE)</f>
        <v>丹羽 俊也</v>
      </c>
      <c r="AM46" s="19"/>
      <c r="AN46" s="20"/>
      <c r="AO46" s="46" t="s">
        <v>30</v>
      </c>
      <c r="AP46" s="437" t="str">
        <f>VLOOKUP(AM43,'結果入力表'!$B$2:$J$212,8,FALSE)</f>
        <v>由本　拓</v>
      </c>
      <c r="AQ46" s="19"/>
      <c r="AR46" s="48"/>
      <c r="AU46" s="438" t="str">
        <f>VLOOKUP(AV43,'結果入力表'!$B$2:$J$212,3,FALSE)</f>
        <v>平井 洸志</v>
      </c>
      <c r="AV46" s="19"/>
      <c r="AW46" s="20"/>
      <c r="AX46" s="46" t="s">
        <v>30</v>
      </c>
      <c r="AY46" s="437" t="str">
        <f>VLOOKUP(AV43,'結果入力表'!$B$2:$J$212,8,FALSE)</f>
        <v>田中 隆介</v>
      </c>
      <c r="AZ46" s="19"/>
      <c r="BA46" s="48"/>
      <c r="BD46" s="438" t="str">
        <f>VLOOKUP(BE43,'結果入力表'!$B$2:$J$212,3,FALSE)</f>
        <v>栃下 恭子</v>
      </c>
      <c r="BE46" s="19"/>
      <c r="BF46" s="20"/>
      <c r="BG46" s="46" t="s">
        <v>30</v>
      </c>
      <c r="BH46" s="437" t="str">
        <f>VLOOKUP(BE43,'結果入力表'!$B$2:$J$212,8,FALSE)</f>
        <v>西田 恵子</v>
      </c>
      <c r="BI46" s="19"/>
      <c r="BJ46" s="48"/>
    </row>
    <row r="47" spans="2:62" ht="37.5" customHeight="1">
      <c r="B47" s="49"/>
      <c r="C47" s="19"/>
      <c r="D47" s="20"/>
      <c r="E47" s="46" t="s">
        <v>31</v>
      </c>
      <c r="F47" s="50"/>
      <c r="G47" s="19"/>
      <c r="H47" s="48"/>
      <c r="K47" s="49"/>
      <c r="L47" s="19"/>
      <c r="M47" s="20"/>
      <c r="N47" s="46" t="s">
        <v>31</v>
      </c>
      <c r="O47" s="50"/>
      <c r="P47" s="19"/>
      <c r="Q47" s="48"/>
      <c r="T47" s="49"/>
      <c r="U47" s="19"/>
      <c r="V47" s="20"/>
      <c r="W47" s="46" t="s">
        <v>31</v>
      </c>
      <c r="X47" s="50"/>
      <c r="Y47" s="19"/>
      <c r="Z47" s="48"/>
      <c r="AC47" s="49"/>
      <c r="AD47" s="19"/>
      <c r="AE47" s="20"/>
      <c r="AF47" s="46" t="s">
        <v>31</v>
      </c>
      <c r="AG47" s="50"/>
      <c r="AH47" s="19"/>
      <c r="AI47" s="48"/>
      <c r="AL47" s="49"/>
      <c r="AM47" s="19"/>
      <c r="AN47" s="20"/>
      <c r="AO47" s="46" t="s">
        <v>31</v>
      </c>
      <c r="AP47" s="50"/>
      <c r="AQ47" s="19"/>
      <c r="AR47" s="48"/>
      <c r="AU47" s="49"/>
      <c r="AV47" s="19"/>
      <c r="AW47" s="20"/>
      <c r="AX47" s="46" t="s">
        <v>31</v>
      </c>
      <c r="AY47" s="50"/>
      <c r="AZ47" s="19"/>
      <c r="BA47" s="48"/>
      <c r="BD47" s="49"/>
      <c r="BE47" s="19"/>
      <c r="BF47" s="20"/>
      <c r="BG47" s="46" t="s">
        <v>31</v>
      </c>
      <c r="BH47" s="50"/>
      <c r="BI47" s="19"/>
      <c r="BJ47" s="48"/>
    </row>
    <row r="48" spans="2:62" ht="37.5" customHeight="1" thickBot="1">
      <c r="B48" s="51"/>
      <c r="C48" s="52"/>
      <c r="D48" s="53"/>
      <c r="E48" s="54" t="s">
        <v>32</v>
      </c>
      <c r="F48" s="55"/>
      <c r="G48" s="52"/>
      <c r="H48" s="56"/>
      <c r="K48" s="51"/>
      <c r="L48" s="52"/>
      <c r="M48" s="53"/>
      <c r="N48" s="54" t="s">
        <v>32</v>
      </c>
      <c r="O48" s="55"/>
      <c r="P48" s="52"/>
      <c r="Q48" s="56"/>
      <c r="T48" s="51"/>
      <c r="U48" s="52"/>
      <c r="V48" s="53"/>
      <c r="W48" s="54" t="s">
        <v>32</v>
      </c>
      <c r="X48" s="55"/>
      <c r="Y48" s="52"/>
      <c r="Z48" s="56"/>
      <c r="AC48" s="51"/>
      <c r="AD48" s="52"/>
      <c r="AE48" s="53"/>
      <c r="AF48" s="54" t="s">
        <v>32</v>
      </c>
      <c r="AG48" s="55"/>
      <c r="AH48" s="52"/>
      <c r="AI48" s="56"/>
      <c r="AL48" s="51"/>
      <c r="AM48" s="52"/>
      <c r="AN48" s="53"/>
      <c r="AO48" s="54" t="s">
        <v>32</v>
      </c>
      <c r="AP48" s="55"/>
      <c r="AQ48" s="52"/>
      <c r="AR48" s="56"/>
      <c r="AU48" s="51"/>
      <c r="AV48" s="52"/>
      <c r="AW48" s="53"/>
      <c r="AX48" s="54" t="s">
        <v>32</v>
      </c>
      <c r="AY48" s="55"/>
      <c r="AZ48" s="52"/>
      <c r="BA48" s="56"/>
      <c r="BD48" s="51"/>
      <c r="BE48" s="52"/>
      <c r="BF48" s="53"/>
      <c r="BG48" s="54" t="s">
        <v>32</v>
      </c>
      <c r="BH48" s="55"/>
      <c r="BI48" s="52"/>
      <c r="BJ48" s="56"/>
    </row>
    <row r="50" spans="4:62" ht="15" customHeight="1">
      <c r="D50" s="22"/>
      <c r="E50" s="22"/>
      <c r="F50" s="21" t="s">
        <v>37</v>
      </c>
      <c r="G50" s="441"/>
      <c r="H50" s="30"/>
      <c r="M50" s="22"/>
      <c r="N50" s="22"/>
      <c r="O50" s="21" t="s">
        <v>37</v>
      </c>
      <c r="P50" s="30"/>
      <c r="Q50" s="30"/>
      <c r="V50" s="22"/>
      <c r="W50" s="22"/>
      <c r="X50" s="21" t="s">
        <v>37</v>
      </c>
      <c r="Y50" s="30"/>
      <c r="Z50" s="30"/>
      <c r="AE50" s="22"/>
      <c r="AF50" s="22"/>
      <c r="AG50" s="21" t="s">
        <v>37</v>
      </c>
      <c r="AH50" s="30"/>
      <c r="AI50" s="30"/>
      <c r="AN50" s="22"/>
      <c r="AO50" s="22"/>
      <c r="AP50" s="21" t="s">
        <v>37</v>
      </c>
      <c r="AQ50" s="30"/>
      <c r="AR50" s="30"/>
      <c r="AW50" s="22"/>
      <c r="AX50" s="22"/>
      <c r="AY50" s="21" t="s">
        <v>37</v>
      </c>
      <c r="AZ50" s="30"/>
      <c r="BA50" s="30"/>
      <c r="BF50" s="22"/>
      <c r="BG50" s="22"/>
      <c r="BH50" s="21" t="s">
        <v>37</v>
      </c>
      <c r="BI50" s="30"/>
      <c r="BJ50" s="30"/>
    </row>
    <row r="51" spans="2:64" ht="15" customHeight="1">
      <c r="B51" s="23" t="str">
        <f>'★個人成績表★'!$A$1</f>
        <v>第28回　京阪神和奈滋対抗戦　　　(大阪；玉出エース)</v>
      </c>
      <c r="C51" s="36"/>
      <c r="D51" s="36"/>
      <c r="E51" s="36"/>
      <c r="F51" s="36"/>
      <c r="G51" s="36"/>
      <c r="H51" s="37"/>
      <c r="K51" s="23" t="str">
        <f>'★個人成績表★'!$A$1</f>
        <v>第28回　京阪神和奈滋対抗戦　　　(大阪；玉出エース)</v>
      </c>
      <c r="L51" s="36"/>
      <c r="M51" s="36"/>
      <c r="N51" s="36"/>
      <c r="O51" s="36"/>
      <c r="P51" s="36"/>
      <c r="Q51" s="37"/>
      <c r="T51" s="23" t="str">
        <f>'★個人成績表★'!$A$1</f>
        <v>第28回　京阪神和奈滋対抗戦　　　(大阪；玉出エース)</v>
      </c>
      <c r="U51" s="36"/>
      <c r="V51" s="36"/>
      <c r="W51" s="36"/>
      <c r="X51" s="36"/>
      <c r="Y51" s="36"/>
      <c r="Z51" s="37"/>
      <c r="AC51" s="23" t="str">
        <f>'★個人成績表★'!$A$1</f>
        <v>第28回　京阪神和奈滋対抗戦　　　(大阪；玉出エース)</v>
      </c>
      <c r="AD51" s="36"/>
      <c r="AE51" s="36"/>
      <c r="AF51" s="36"/>
      <c r="AG51" s="36"/>
      <c r="AH51" s="36"/>
      <c r="AI51" s="37"/>
      <c r="AL51" s="23" t="str">
        <f>'★個人成績表★'!$A$1</f>
        <v>第28回　京阪神和奈滋対抗戦　　　(大阪；玉出エース)</v>
      </c>
      <c r="AM51" s="36"/>
      <c r="AN51" s="36"/>
      <c r="AO51" s="36"/>
      <c r="AP51" s="36"/>
      <c r="AQ51" s="36"/>
      <c r="AR51" s="37"/>
      <c r="AU51" s="23" t="str">
        <f>'★個人成績表★'!$A$1</f>
        <v>第28回　京阪神和奈滋対抗戦　　　(大阪；玉出エース)</v>
      </c>
      <c r="AV51" s="36"/>
      <c r="AW51" s="36"/>
      <c r="AX51" s="36"/>
      <c r="AY51" s="36"/>
      <c r="AZ51" s="36"/>
      <c r="BA51" s="37"/>
      <c r="BD51" s="23" t="str">
        <f>'★個人成績表★'!$A$1</f>
        <v>第28回　京阪神和奈滋対抗戦　　　(大阪；玉出エース)</v>
      </c>
      <c r="BE51" s="36"/>
      <c r="BF51" s="36"/>
      <c r="BG51" s="36"/>
      <c r="BH51" s="36"/>
      <c r="BI51" s="36"/>
      <c r="BJ51" s="37"/>
      <c r="BL51" t="s">
        <v>33</v>
      </c>
    </row>
    <row r="53" spans="2:61" s="38" customFormat="1" ht="15" customHeight="1">
      <c r="B53" s="22" t="s">
        <v>35</v>
      </c>
      <c r="C53" s="30">
        <f>BE43+1</f>
        <v>29</v>
      </c>
      <c r="F53" s="22" t="s">
        <v>36</v>
      </c>
      <c r="G53" s="30"/>
      <c r="K53" s="22" t="s">
        <v>35</v>
      </c>
      <c r="L53" s="30">
        <f>C53+1</f>
        <v>30</v>
      </c>
      <c r="O53" s="22" t="s">
        <v>36</v>
      </c>
      <c r="P53" s="30"/>
      <c r="T53" s="22" t="s">
        <v>35</v>
      </c>
      <c r="U53" s="30">
        <f>L53+1</f>
        <v>31</v>
      </c>
      <c r="X53" s="22" t="s">
        <v>36</v>
      </c>
      <c r="Y53" s="30"/>
      <c r="AC53" s="22" t="s">
        <v>35</v>
      </c>
      <c r="AD53" s="30">
        <f>U53+1</f>
        <v>32</v>
      </c>
      <c r="AG53" s="22" t="s">
        <v>36</v>
      </c>
      <c r="AH53" s="30"/>
      <c r="AL53" s="22" t="s">
        <v>35</v>
      </c>
      <c r="AM53" s="30">
        <f>AD53+1</f>
        <v>33</v>
      </c>
      <c r="AP53" s="22" t="s">
        <v>36</v>
      </c>
      <c r="AQ53" s="30"/>
      <c r="AU53" s="22" t="s">
        <v>35</v>
      </c>
      <c r="AV53" s="30">
        <f>AM53+1</f>
        <v>34</v>
      </c>
      <c r="AY53" s="22" t="s">
        <v>36</v>
      </c>
      <c r="AZ53" s="30"/>
      <c r="BD53" s="22" t="s">
        <v>35</v>
      </c>
      <c r="BE53" s="30">
        <f>AV53+1</f>
        <v>35</v>
      </c>
      <c r="BH53" s="22" t="s">
        <v>36</v>
      </c>
      <c r="BI53" s="30"/>
    </row>
    <row r="54" ht="15" customHeight="1" thickBot="1"/>
    <row r="55" spans="2:62" ht="31.5" customHeight="1">
      <c r="B55" s="39" t="str">
        <f>VLOOKUP(C53,'結果入力表'!$B$2:$J$212,2,FALSE)</f>
        <v>WRC</v>
      </c>
      <c r="C55" s="40"/>
      <c r="D55" s="41"/>
      <c r="E55" s="42" t="s">
        <v>29</v>
      </c>
      <c r="F55" s="43" t="str">
        <f>VLOOKUP(C53,'結果入力表'!$B$2:$J$212,9,FALSE)</f>
        <v>NRC</v>
      </c>
      <c r="G55" s="40"/>
      <c r="H55" s="44"/>
      <c r="K55" s="39" t="str">
        <f>VLOOKUP(L53,'結果入力表'!$B$2:$J$212,2,FALSE)</f>
        <v>WRC</v>
      </c>
      <c r="L55" s="40"/>
      <c r="M55" s="41"/>
      <c r="N55" s="42" t="s">
        <v>29</v>
      </c>
      <c r="O55" s="43" t="str">
        <f>VLOOKUP(L53,'結果入力表'!$B$2:$J$212,9,FALSE)</f>
        <v>NRC</v>
      </c>
      <c r="P55" s="40"/>
      <c r="Q55" s="44"/>
      <c r="T55" s="39" t="str">
        <f>VLOOKUP(U53,'結果入力表'!$B$2:$J$212,2,FALSE)</f>
        <v>WRC</v>
      </c>
      <c r="U55" s="40"/>
      <c r="V55" s="41"/>
      <c r="W55" s="42" t="s">
        <v>29</v>
      </c>
      <c r="X55" s="43" t="str">
        <f>VLOOKUP(U53,'結果入力表'!$B$2:$J$212,9,FALSE)</f>
        <v>NRC</v>
      </c>
      <c r="Y55" s="40"/>
      <c r="Z55" s="44"/>
      <c r="AC55" s="39" t="str">
        <f>VLOOKUP(AD53,'結果入力表'!$B$2:$J$212,2,FALSE)</f>
        <v>WRC</v>
      </c>
      <c r="AD55" s="40"/>
      <c r="AE55" s="41"/>
      <c r="AF55" s="42" t="s">
        <v>29</v>
      </c>
      <c r="AG55" s="43" t="str">
        <f>VLOOKUP(AD53,'結果入力表'!$B$2:$J$212,9,FALSE)</f>
        <v>NRC</v>
      </c>
      <c r="AH55" s="40"/>
      <c r="AI55" s="44"/>
      <c r="AL55" s="39" t="str">
        <f>VLOOKUP(AM53,'結果入力表'!$B$2:$J$212,2,FALSE)</f>
        <v>WRC</v>
      </c>
      <c r="AM55" s="40"/>
      <c r="AN55" s="41"/>
      <c r="AO55" s="42" t="s">
        <v>29</v>
      </c>
      <c r="AP55" s="43" t="str">
        <f>VLOOKUP(AM53,'結果入力表'!$B$2:$J$212,9,FALSE)</f>
        <v>NRC</v>
      </c>
      <c r="AQ55" s="40"/>
      <c r="AR55" s="44"/>
      <c r="AU55" s="39" t="str">
        <f>VLOOKUP(AV53,'結果入力表'!$B$2:$J$212,2,FALSE)</f>
        <v>WRC</v>
      </c>
      <c r="AV55" s="40"/>
      <c r="AW55" s="41"/>
      <c r="AX55" s="42" t="s">
        <v>29</v>
      </c>
      <c r="AY55" s="43" t="str">
        <f>VLOOKUP(AV53,'結果入力表'!$B$2:$J$212,9,FALSE)</f>
        <v>NRC</v>
      </c>
      <c r="AZ55" s="40"/>
      <c r="BA55" s="44"/>
      <c r="BD55" s="39" t="str">
        <f>VLOOKUP(BE53,'結果入力表'!$B$2:$J$212,2,FALSE)</f>
        <v>WRC</v>
      </c>
      <c r="BE55" s="40"/>
      <c r="BF55" s="41"/>
      <c r="BG55" s="42" t="s">
        <v>29</v>
      </c>
      <c r="BH55" s="43" t="str">
        <f>VLOOKUP(BE53,'結果入力表'!$B$2:$J$212,9,FALSE)</f>
        <v>NRC</v>
      </c>
      <c r="BI55" s="40"/>
      <c r="BJ55" s="44"/>
    </row>
    <row r="56" spans="2:62" ht="46.5" customHeight="1">
      <c r="B56" s="438" t="str">
        <f>VLOOKUP(C53,'結果入力表'!$B$2:$J$212,3,FALSE)</f>
        <v>末岡　修</v>
      </c>
      <c r="C56" s="19"/>
      <c r="D56" s="20"/>
      <c r="E56" s="46" t="s">
        <v>30</v>
      </c>
      <c r="F56" s="437" t="str">
        <f>VLOOKUP(C53,'結果入力表'!$B$2:$J$212,8,FALSE)</f>
        <v>白戸 玲人</v>
      </c>
      <c r="G56" s="19"/>
      <c r="H56" s="48"/>
      <c r="K56" s="438" t="str">
        <f>VLOOKUP(L53,'結果入力表'!$B$2:$J$212,3,FALSE)</f>
        <v>杉本 博章</v>
      </c>
      <c r="L56" s="19"/>
      <c r="M56" s="20"/>
      <c r="N56" s="46" t="s">
        <v>30</v>
      </c>
      <c r="O56" s="437" t="str">
        <f>VLOOKUP(L53,'結果入力表'!$B$2:$J$212,8,FALSE)</f>
        <v>近藤 拓馬</v>
      </c>
      <c r="P56" s="19"/>
      <c r="Q56" s="48"/>
      <c r="T56" s="438" t="str">
        <f>VLOOKUP(U53,'結果入力表'!$B$2:$J$212,3,FALSE)</f>
        <v>丹次 力良</v>
      </c>
      <c r="U56" s="19"/>
      <c r="V56" s="20"/>
      <c r="W56" s="46" t="s">
        <v>30</v>
      </c>
      <c r="X56" s="437" t="str">
        <f>VLOOKUP(U53,'結果入力表'!$B$2:$J$212,8,FALSE)</f>
        <v>吉向 翔平</v>
      </c>
      <c r="Y56" s="19"/>
      <c r="Z56" s="48"/>
      <c r="AC56" s="438" t="str">
        <f>VLOOKUP(AD53,'結果入力表'!$B$2:$J$212,3,FALSE)</f>
        <v>芝先 泰生</v>
      </c>
      <c r="AD56" s="19"/>
      <c r="AE56" s="20"/>
      <c r="AF56" s="46" t="s">
        <v>30</v>
      </c>
      <c r="AG56" s="437" t="str">
        <f>VLOOKUP(AD53,'結果入力表'!$B$2:$J$212,8,FALSE)</f>
        <v>山田 普之</v>
      </c>
      <c r="AH56" s="19"/>
      <c r="AI56" s="48"/>
      <c r="AL56" s="438" t="str">
        <f>VLOOKUP(AM53,'結果入力表'!$B$2:$J$212,3,FALSE)</f>
        <v>岸上 賢一</v>
      </c>
      <c r="AM56" s="19"/>
      <c r="AN56" s="20"/>
      <c r="AO56" s="46" t="s">
        <v>30</v>
      </c>
      <c r="AP56" s="437" t="str">
        <f>VLOOKUP(AM53,'結果入力表'!$B$2:$J$212,8,FALSE)</f>
        <v>山田 晃司</v>
      </c>
      <c r="AQ56" s="19"/>
      <c r="AR56" s="48"/>
      <c r="AU56" s="438" t="str">
        <f>VLOOKUP(AV53,'結果入力表'!$B$2:$J$212,3,FALSE)</f>
        <v>中本 雅大</v>
      </c>
      <c r="AV56" s="19"/>
      <c r="AW56" s="20"/>
      <c r="AX56" s="46" t="s">
        <v>30</v>
      </c>
      <c r="AY56" s="437" t="str">
        <f>VLOOKUP(AV53,'結果入力表'!$B$2:$J$212,8,FALSE)</f>
        <v>長谷川 進</v>
      </c>
      <c r="AZ56" s="19"/>
      <c r="BA56" s="48"/>
      <c r="BD56" s="438" t="str">
        <f>VLOOKUP(BE53,'結果入力表'!$B$2:$J$212,3,FALSE)</f>
        <v>松房ゆかり</v>
      </c>
      <c r="BE56" s="19"/>
      <c r="BF56" s="20"/>
      <c r="BG56" s="46" t="s">
        <v>30</v>
      </c>
      <c r="BH56" s="437" t="str">
        <f>VLOOKUP(BE53,'結果入力表'!$B$2:$J$212,8,FALSE)</f>
        <v>宮野 早織</v>
      </c>
      <c r="BI56" s="19"/>
      <c r="BJ56" s="48"/>
    </row>
    <row r="57" spans="2:62" ht="37.5" customHeight="1">
      <c r="B57" s="49"/>
      <c r="C57" s="19"/>
      <c r="D57" s="20"/>
      <c r="E57" s="46" t="s">
        <v>31</v>
      </c>
      <c r="F57" s="50"/>
      <c r="G57" s="19"/>
      <c r="H57" s="48"/>
      <c r="K57" s="49"/>
      <c r="L57" s="19"/>
      <c r="M57" s="20"/>
      <c r="N57" s="46" t="s">
        <v>31</v>
      </c>
      <c r="O57" s="50"/>
      <c r="P57" s="19"/>
      <c r="Q57" s="48"/>
      <c r="T57" s="49"/>
      <c r="U57" s="19"/>
      <c r="V57" s="20"/>
      <c r="W57" s="46" t="s">
        <v>31</v>
      </c>
      <c r="X57" s="50"/>
      <c r="Y57" s="19"/>
      <c r="Z57" s="48"/>
      <c r="AC57" s="49"/>
      <c r="AD57" s="19"/>
      <c r="AE57" s="20"/>
      <c r="AF57" s="46" t="s">
        <v>31</v>
      </c>
      <c r="AG57" s="50"/>
      <c r="AH57" s="19"/>
      <c r="AI57" s="48"/>
      <c r="AL57" s="49"/>
      <c r="AM57" s="19"/>
      <c r="AN57" s="20"/>
      <c r="AO57" s="46" t="s">
        <v>31</v>
      </c>
      <c r="AP57" s="50"/>
      <c r="AQ57" s="19"/>
      <c r="AR57" s="48"/>
      <c r="AU57" s="49"/>
      <c r="AV57" s="19"/>
      <c r="AW57" s="20"/>
      <c r="AX57" s="46" t="s">
        <v>31</v>
      </c>
      <c r="AY57" s="50"/>
      <c r="AZ57" s="19"/>
      <c r="BA57" s="48"/>
      <c r="BD57" s="49"/>
      <c r="BE57" s="19"/>
      <c r="BF57" s="20"/>
      <c r="BG57" s="46" t="s">
        <v>31</v>
      </c>
      <c r="BH57" s="50"/>
      <c r="BI57" s="19"/>
      <c r="BJ57" s="48"/>
    </row>
    <row r="58" spans="2:62" ht="37.5" customHeight="1" thickBot="1">
      <c r="B58" s="51"/>
      <c r="C58" s="52"/>
      <c r="D58" s="53"/>
      <c r="E58" s="54" t="s">
        <v>32</v>
      </c>
      <c r="F58" s="55"/>
      <c r="G58" s="52"/>
      <c r="H58" s="56"/>
      <c r="K58" s="51"/>
      <c r="L58" s="52"/>
      <c r="M58" s="53"/>
      <c r="N58" s="54" t="s">
        <v>32</v>
      </c>
      <c r="O58" s="55"/>
      <c r="P58" s="52"/>
      <c r="Q58" s="56"/>
      <c r="T58" s="51"/>
      <c r="U58" s="52"/>
      <c r="V58" s="53"/>
      <c r="W58" s="54" t="s">
        <v>32</v>
      </c>
      <c r="X58" s="55"/>
      <c r="Y58" s="52"/>
      <c r="Z58" s="56"/>
      <c r="AC58" s="51"/>
      <c r="AD58" s="52"/>
      <c r="AE58" s="53"/>
      <c r="AF58" s="54" t="s">
        <v>32</v>
      </c>
      <c r="AG58" s="55"/>
      <c r="AH58" s="52"/>
      <c r="AI58" s="56"/>
      <c r="AL58" s="51"/>
      <c r="AM58" s="52"/>
      <c r="AN58" s="53"/>
      <c r="AO58" s="54" t="s">
        <v>32</v>
      </c>
      <c r="AP58" s="55"/>
      <c r="AQ58" s="52"/>
      <c r="AR58" s="56"/>
      <c r="AU58" s="51"/>
      <c r="AV58" s="52"/>
      <c r="AW58" s="53"/>
      <c r="AX58" s="54" t="s">
        <v>32</v>
      </c>
      <c r="AY58" s="55"/>
      <c r="AZ58" s="52"/>
      <c r="BA58" s="56"/>
      <c r="BD58" s="51"/>
      <c r="BE58" s="52"/>
      <c r="BF58" s="53"/>
      <c r="BG58" s="54" t="s">
        <v>32</v>
      </c>
      <c r="BH58" s="55"/>
      <c r="BI58" s="52"/>
      <c r="BJ58" s="56"/>
    </row>
    <row r="60" spans="4:62" ht="15" customHeight="1">
      <c r="D60" s="22"/>
      <c r="E60" s="22"/>
      <c r="F60" s="21" t="s">
        <v>37</v>
      </c>
      <c r="G60" s="441"/>
      <c r="H60" s="30"/>
      <c r="M60" s="22"/>
      <c r="N60" s="22"/>
      <c r="O60" s="21" t="s">
        <v>37</v>
      </c>
      <c r="P60" s="30"/>
      <c r="Q60" s="30"/>
      <c r="V60" s="22"/>
      <c r="W60" s="22"/>
      <c r="X60" s="21" t="s">
        <v>37</v>
      </c>
      <c r="Y60" s="30"/>
      <c r="Z60" s="30"/>
      <c r="AE60" s="22"/>
      <c r="AF60" s="22"/>
      <c r="AG60" s="21" t="s">
        <v>37</v>
      </c>
      <c r="AH60" s="30"/>
      <c r="AI60" s="30"/>
      <c r="AN60" s="22"/>
      <c r="AO60" s="22"/>
      <c r="AP60" s="21" t="s">
        <v>37</v>
      </c>
      <c r="AQ60" s="30"/>
      <c r="AR60" s="30"/>
      <c r="AW60" s="22"/>
      <c r="AX60" s="22"/>
      <c r="AY60" s="21" t="s">
        <v>37</v>
      </c>
      <c r="AZ60" s="30"/>
      <c r="BA60" s="30"/>
      <c r="BF60" s="22"/>
      <c r="BG60" s="22"/>
      <c r="BH60" s="21" t="s">
        <v>37</v>
      </c>
      <c r="BI60" s="30"/>
      <c r="BJ60" s="30"/>
    </row>
    <row r="61" spans="2:64" ht="15" customHeight="1">
      <c r="B61" s="23" t="str">
        <f>'★個人成績表★'!$A$1</f>
        <v>第28回　京阪神和奈滋対抗戦　　　(大阪；玉出エース)</v>
      </c>
      <c r="C61" s="36"/>
      <c r="D61" s="36"/>
      <c r="E61" s="36"/>
      <c r="F61" s="36"/>
      <c r="G61" s="36"/>
      <c r="H61" s="37"/>
      <c r="K61" s="23" t="str">
        <f>'★個人成績表★'!$A$1</f>
        <v>第28回　京阪神和奈滋対抗戦　　　(大阪；玉出エース)</v>
      </c>
      <c r="L61" s="36"/>
      <c r="M61" s="36"/>
      <c r="N61" s="36"/>
      <c r="O61" s="36"/>
      <c r="P61" s="36"/>
      <c r="Q61" s="37"/>
      <c r="T61" s="23" t="str">
        <f>'★個人成績表★'!$A$1</f>
        <v>第28回　京阪神和奈滋対抗戦　　　(大阪；玉出エース)</v>
      </c>
      <c r="U61" s="36"/>
      <c r="V61" s="36"/>
      <c r="W61" s="36"/>
      <c r="X61" s="36"/>
      <c r="Y61" s="36"/>
      <c r="Z61" s="37"/>
      <c r="AC61" s="23" t="str">
        <f>'★個人成績表★'!$A$1</f>
        <v>第28回　京阪神和奈滋対抗戦　　　(大阪；玉出エース)</v>
      </c>
      <c r="AD61" s="36"/>
      <c r="AE61" s="36"/>
      <c r="AF61" s="36"/>
      <c r="AG61" s="36"/>
      <c r="AH61" s="36"/>
      <c r="AI61" s="37"/>
      <c r="AL61" s="23" t="str">
        <f>'★個人成績表★'!$A$1</f>
        <v>第28回　京阪神和奈滋対抗戦　　　(大阪；玉出エース)</v>
      </c>
      <c r="AM61" s="36"/>
      <c r="AN61" s="36"/>
      <c r="AO61" s="36"/>
      <c r="AP61" s="36"/>
      <c r="AQ61" s="36"/>
      <c r="AR61" s="37"/>
      <c r="AU61" s="23" t="str">
        <f>'★個人成績表★'!$A$1</f>
        <v>第28回　京阪神和奈滋対抗戦　　　(大阪；玉出エース)</v>
      </c>
      <c r="AV61" s="36"/>
      <c r="AW61" s="36"/>
      <c r="AX61" s="36"/>
      <c r="AY61" s="36"/>
      <c r="AZ61" s="36"/>
      <c r="BA61" s="37"/>
      <c r="BD61" s="23" t="str">
        <f>'★個人成績表★'!$A$1</f>
        <v>第28回　京阪神和奈滋対抗戦　　　(大阪；玉出エース)</v>
      </c>
      <c r="BE61" s="36"/>
      <c r="BF61" s="36"/>
      <c r="BG61" s="36"/>
      <c r="BH61" s="36"/>
      <c r="BI61" s="36"/>
      <c r="BJ61" s="37"/>
      <c r="BL61" t="s">
        <v>33</v>
      </c>
    </row>
    <row r="63" spans="2:61" s="38" customFormat="1" ht="15" customHeight="1">
      <c r="B63" s="22" t="s">
        <v>35</v>
      </c>
      <c r="C63" s="30">
        <f>BE53+1</f>
        <v>36</v>
      </c>
      <c r="F63" s="22" t="s">
        <v>36</v>
      </c>
      <c r="G63" s="30"/>
      <c r="K63" s="22" t="s">
        <v>35</v>
      </c>
      <c r="L63" s="30">
        <f>C63+1</f>
        <v>37</v>
      </c>
      <c r="O63" s="22" t="s">
        <v>36</v>
      </c>
      <c r="P63" s="30"/>
      <c r="T63" s="22" t="s">
        <v>35</v>
      </c>
      <c r="U63" s="30">
        <f>L63+1</f>
        <v>38</v>
      </c>
      <c r="X63" s="22" t="s">
        <v>36</v>
      </c>
      <c r="Y63" s="30"/>
      <c r="AC63" s="22" t="s">
        <v>35</v>
      </c>
      <c r="AD63" s="30">
        <f>U63+1</f>
        <v>39</v>
      </c>
      <c r="AG63" s="22" t="s">
        <v>36</v>
      </c>
      <c r="AH63" s="30"/>
      <c r="AL63" s="22" t="s">
        <v>35</v>
      </c>
      <c r="AM63" s="30">
        <f>AD63+1</f>
        <v>40</v>
      </c>
      <c r="AP63" s="22" t="s">
        <v>36</v>
      </c>
      <c r="AQ63" s="30"/>
      <c r="AU63" s="22" t="s">
        <v>35</v>
      </c>
      <c r="AV63" s="30">
        <f>AM63+1</f>
        <v>41</v>
      </c>
      <c r="AY63" s="22" t="s">
        <v>36</v>
      </c>
      <c r="AZ63" s="30"/>
      <c r="BD63" s="22" t="s">
        <v>35</v>
      </c>
      <c r="BE63" s="30">
        <f>AV63+1</f>
        <v>42</v>
      </c>
      <c r="BH63" s="22" t="s">
        <v>36</v>
      </c>
      <c r="BI63" s="30"/>
    </row>
    <row r="64" ht="15" customHeight="1" thickBot="1"/>
    <row r="65" spans="2:62" ht="31.5" customHeight="1">
      <c r="B65" s="39" t="str">
        <f>VLOOKUP(C63,'結果入力表'!$B$2:$J$212,2,FALSE)</f>
        <v>KRC</v>
      </c>
      <c r="C65" s="40"/>
      <c r="D65" s="41"/>
      <c r="E65" s="42" t="s">
        <v>29</v>
      </c>
      <c r="F65" s="43" t="str">
        <f>VLOOKUP(C63,'結果入力表'!$B$2:$J$212,9,FALSE)</f>
        <v>SBC</v>
      </c>
      <c r="G65" s="40"/>
      <c r="H65" s="44"/>
      <c r="K65" s="39" t="str">
        <f>VLOOKUP(L63,'結果入力表'!$B$2:$J$212,2,FALSE)</f>
        <v>KRC</v>
      </c>
      <c r="L65" s="40"/>
      <c r="M65" s="41"/>
      <c r="N65" s="42" t="s">
        <v>29</v>
      </c>
      <c r="O65" s="43" t="str">
        <f>VLOOKUP(L63,'結果入力表'!$B$2:$J$212,9,FALSE)</f>
        <v>SBC</v>
      </c>
      <c r="P65" s="40"/>
      <c r="Q65" s="44"/>
      <c r="T65" s="39" t="str">
        <f>VLOOKUP(U63,'結果入力表'!$B$2:$J$212,2,FALSE)</f>
        <v>KRC</v>
      </c>
      <c r="U65" s="40"/>
      <c r="V65" s="41"/>
      <c r="W65" s="42" t="s">
        <v>29</v>
      </c>
      <c r="X65" s="43" t="str">
        <f>VLOOKUP(U63,'結果入力表'!$B$2:$J$212,9,FALSE)</f>
        <v>SBC</v>
      </c>
      <c r="Y65" s="40"/>
      <c r="Z65" s="44"/>
      <c r="AC65" s="39" t="str">
        <f>VLOOKUP(AD63,'結果入力表'!$B$2:$J$212,2,FALSE)</f>
        <v>KRC</v>
      </c>
      <c r="AD65" s="40"/>
      <c r="AE65" s="41"/>
      <c r="AF65" s="42" t="s">
        <v>29</v>
      </c>
      <c r="AG65" s="43" t="str">
        <f>VLOOKUP(AD63,'結果入力表'!$B$2:$J$212,9,FALSE)</f>
        <v>SBC</v>
      </c>
      <c r="AH65" s="40"/>
      <c r="AI65" s="44"/>
      <c r="AL65" s="39" t="str">
        <f>VLOOKUP(AM63,'結果入力表'!$B$2:$J$212,2,FALSE)</f>
        <v>KRC</v>
      </c>
      <c r="AM65" s="40"/>
      <c r="AN65" s="41"/>
      <c r="AO65" s="42" t="s">
        <v>29</v>
      </c>
      <c r="AP65" s="43" t="str">
        <f>VLOOKUP(AM63,'結果入力表'!$B$2:$J$212,9,FALSE)</f>
        <v>SBC</v>
      </c>
      <c r="AQ65" s="40"/>
      <c r="AR65" s="44"/>
      <c r="AU65" s="39" t="str">
        <f>VLOOKUP(AV63,'結果入力表'!$B$2:$J$212,2,FALSE)</f>
        <v>KRC</v>
      </c>
      <c r="AV65" s="40"/>
      <c r="AW65" s="41"/>
      <c r="AX65" s="42" t="s">
        <v>29</v>
      </c>
      <c r="AY65" s="43" t="str">
        <f>VLOOKUP(AV63,'結果入力表'!$B$2:$J$212,9,FALSE)</f>
        <v>SBC</v>
      </c>
      <c r="AZ65" s="40"/>
      <c r="BA65" s="44"/>
      <c r="BD65" s="39" t="str">
        <f>VLOOKUP(BE63,'結果入力表'!$B$2:$J$212,2,FALSE)</f>
        <v>KRC</v>
      </c>
      <c r="BE65" s="40"/>
      <c r="BF65" s="41"/>
      <c r="BG65" s="42" t="s">
        <v>29</v>
      </c>
      <c r="BH65" s="43" t="str">
        <f>VLOOKUP(BE63,'結果入力表'!$B$2:$J$212,9,FALSE)</f>
        <v>SBC</v>
      </c>
      <c r="BI65" s="40"/>
      <c r="BJ65" s="44"/>
    </row>
    <row r="66" spans="2:62" ht="46.5" customHeight="1">
      <c r="B66" s="438" t="str">
        <f>VLOOKUP(C63,'結果入力表'!$B$2:$J$212,3,FALSE)</f>
        <v>折戸 和幸</v>
      </c>
      <c r="C66" s="19"/>
      <c r="D66" s="20"/>
      <c r="E66" s="46" t="s">
        <v>30</v>
      </c>
      <c r="F66" s="437" t="str">
        <f>VLOOKUP(C63,'結果入力表'!$B$2:$J$212,8,FALSE)</f>
        <v>西峰 久祐</v>
      </c>
      <c r="G66" s="19"/>
      <c r="H66" s="48"/>
      <c r="K66" s="438" t="str">
        <f>VLOOKUP(L63,'結果入力表'!$B$2:$J$212,3,FALSE)</f>
        <v>今村 哲也</v>
      </c>
      <c r="L66" s="19"/>
      <c r="M66" s="20"/>
      <c r="N66" s="46" t="s">
        <v>30</v>
      </c>
      <c r="O66" s="437" t="str">
        <f>VLOOKUP(L63,'結果入力表'!$B$2:$J$212,8,FALSE)</f>
        <v>長田 智紀</v>
      </c>
      <c r="P66" s="19"/>
      <c r="Q66" s="48"/>
      <c r="T66" s="438" t="str">
        <f>VLOOKUP(U63,'結果入力表'!$B$2:$J$212,3,FALSE)</f>
        <v>小山 久博</v>
      </c>
      <c r="U66" s="19"/>
      <c r="V66" s="20"/>
      <c r="W66" s="46" t="s">
        <v>30</v>
      </c>
      <c r="X66" s="437" t="str">
        <f>VLOOKUP(U63,'結果入力表'!$B$2:$J$212,8,FALSE)</f>
        <v>大橋 義治</v>
      </c>
      <c r="Y66" s="19"/>
      <c r="Z66" s="48"/>
      <c r="AC66" s="438" t="str">
        <f>VLOOKUP(AD63,'結果入力表'!$B$2:$J$212,3,FALSE)</f>
        <v>伊庭 保久</v>
      </c>
      <c r="AD66" s="19"/>
      <c r="AE66" s="20"/>
      <c r="AF66" s="46" t="s">
        <v>30</v>
      </c>
      <c r="AG66" s="437" t="str">
        <f>VLOOKUP(AD63,'結果入力表'!$B$2:$J$212,8,FALSE)</f>
        <v>山中 康寛</v>
      </c>
      <c r="AH66" s="19"/>
      <c r="AI66" s="48"/>
      <c r="AL66" s="438" t="str">
        <f>VLOOKUP(AM63,'結果入力表'!$B$2:$J$212,3,FALSE)</f>
        <v>菊池 靖正</v>
      </c>
      <c r="AM66" s="19"/>
      <c r="AN66" s="20"/>
      <c r="AO66" s="46" t="s">
        <v>30</v>
      </c>
      <c r="AP66" s="437" t="str">
        <f>VLOOKUP(AM63,'結果入力表'!$B$2:$J$212,8,FALSE)</f>
        <v>高島 太一</v>
      </c>
      <c r="AQ66" s="19"/>
      <c r="AR66" s="48"/>
      <c r="AU66" s="438" t="str">
        <f>VLOOKUP(AV63,'結果入力表'!$B$2:$J$212,3,FALSE)</f>
        <v>田附 裕次</v>
      </c>
      <c r="AV66" s="19"/>
      <c r="AW66" s="20"/>
      <c r="AX66" s="46" t="s">
        <v>30</v>
      </c>
      <c r="AY66" s="437" t="str">
        <f>VLOOKUP(AV63,'結果入力表'!$B$2:$J$212,8,FALSE)</f>
        <v>須藤 浩章</v>
      </c>
      <c r="AZ66" s="19"/>
      <c r="BA66" s="48"/>
      <c r="BD66" s="438" t="str">
        <f>VLOOKUP(BE63,'結果入力表'!$B$2:$J$212,3,FALSE)</f>
        <v>森田由佳里</v>
      </c>
      <c r="BE66" s="19"/>
      <c r="BF66" s="20"/>
      <c r="BG66" s="46" t="s">
        <v>30</v>
      </c>
      <c r="BH66" s="437" t="str">
        <f>VLOOKUP(BE63,'結果入力表'!$B$2:$J$212,8,FALSE)</f>
        <v>酒井 美希</v>
      </c>
      <c r="BI66" s="19"/>
      <c r="BJ66" s="48"/>
    </row>
    <row r="67" spans="2:62" ht="37.5" customHeight="1">
      <c r="B67" s="49"/>
      <c r="C67" s="19"/>
      <c r="D67" s="20"/>
      <c r="E67" s="46" t="s">
        <v>31</v>
      </c>
      <c r="F67" s="50"/>
      <c r="G67" s="19"/>
      <c r="H67" s="48"/>
      <c r="K67" s="49"/>
      <c r="L67" s="19"/>
      <c r="M67" s="20"/>
      <c r="N67" s="46" t="s">
        <v>31</v>
      </c>
      <c r="O67" s="50"/>
      <c r="P67" s="19"/>
      <c r="Q67" s="48"/>
      <c r="T67" s="49"/>
      <c r="U67" s="19"/>
      <c r="V67" s="20"/>
      <c r="W67" s="46" t="s">
        <v>31</v>
      </c>
      <c r="X67" s="50"/>
      <c r="Y67" s="19"/>
      <c r="Z67" s="48"/>
      <c r="AC67" s="49"/>
      <c r="AD67" s="19"/>
      <c r="AE67" s="20"/>
      <c r="AF67" s="46" t="s">
        <v>31</v>
      </c>
      <c r="AG67" s="50"/>
      <c r="AH67" s="19"/>
      <c r="AI67" s="48"/>
      <c r="AL67" s="49"/>
      <c r="AM67" s="19"/>
      <c r="AN67" s="20"/>
      <c r="AO67" s="46" t="s">
        <v>31</v>
      </c>
      <c r="AP67" s="50"/>
      <c r="AQ67" s="19"/>
      <c r="AR67" s="48"/>
      <c r="AU67" s="49"/>
      <c r="AV67" s="19"/>
      <c r="AW67" s="20"/>
      <c r="AX67" s="46" t="s">
        <v>31</v>
      </c>
      <c r="AY67" s="50"/>
      <c r="AZ67" s="19"/>
      <c r="BA67" s="48"/>
      <c r="BD67" s="49"/>
      <c r="BE67" s="19"/>
      <c r="BF67" s="20"/>
      <c r="BG67" s="46" t="s">
        <v>31</v>
      </c>
      <c r="BH67" s="50"/>
      <c r="BI67" s="19"/>
      <c r="BJ67" s="48"/>
    </row>
    <row r="68" spans="2:62" ht="37.5" customHeight="1" thickBot="1">
      <c r="B68" s="51"/>
      <c r="C68" s="52"/>
      <c r="D68" s="53"/>
      <c r="E68" s="54" t="s">
        <v>32</v>
      </c>
      <c r="F68" s="55"/>
      <c r="G68" s="52"/>
      <c r="H68" s="56"/>
      <c r="K68" s="51"/>
      <c r="L68" s="52"/>
      <c r="M68" s="53"/>
      <c r="N68" s="54" t="s">
        <v>32</v>
      </c>
      <c r="O68" s="55"/>
      <c r="P68" s="52"/>
      <c r="Q68" s="56"/>
      <c r="T68" s="51"/>
      <c r="U68" s="52"/>
      <c r="V68" s="53"/>
      <c r="W68" s="54" t="s">
        <v>32</v>
      </c>
      <c r="X68" s="55"/>
      <c r="Y68" s="52"/>
      <c r="Z68" s="56"/>
      <c r="AC68" s="51"/>
      <c r="AD68" s="52"/>
      <c r="AE68" s="53"/>
      <c r="AF68" s="54" t="s">
        <v>32</v>
      </c>
      <c r="AG68" s="55"/>
      <c r="AH68" s="52"/>
      <c r="AI68" s="56"/>
      <c r="AL68" s="51"/>
      <c r="AM68" s="52"/>
      <c r="AN68" s="53"/>
      <c r="AO68" s="54" t="s">
        <v>32</v>
      </c>
      <c r="AP68" s="55"/>
      <c r="AQ68" s="52"/>
      <c r="AR68" s="56"/>
      <c r="AU68" s="51"/>
      <c r="AV68" s="52"/>
      <c r="AW68" s="53"/>
      <c r="AX68" s="54" t="s">
        <v>32</v>
      </c>
      <c r="AY68" s="55"/>
      <c r="AZ68" s="52"/>
      <c r="BA68" s="56"/>
      <c r="BD68" s="51"/>
      <c r="BE68" s="52"/>
      <c r="BF68" s="53"/>
      <c r="BG68" s="54" t="s">
        <v>32</v>
      </c>
      <c r="BH68" s="55"/>
      <c r="BI68" s="52"/>
      <c r="BJ68" s="56"/>
    </row>
    <row r="70" spans="4:62" ht="15" customHeight="1">
      <c r="D70" s="22"/>
      <c r="E70" s="22"/>
      <c r="F70" s="21" t="s">
        <v>37</v>
      </c>
      <c r="G70" s="441"/>
      <c r="H70" s="30"/>
      <c r="M70" s="22"/>
      <c r="N70" s="22"/>
      <c r="O70" s="21" t="s">
        <v>37</v>
      </c>
      <c r="P70" s="30"/>
      <c r="Q70" s="30"/>
      <c r="V70" s="22"/>
      <c r="W70" s="22"/>
      <c r="X70" s="21" t="s">
        <v>37</v>
      </c>
      <c r="Y70" s="30"/>
      <c r="Z70" s="30"/>
      <c r="AE70" s="22"/>
      <c r="AF70" s="22"/>
      <c r="AG70" s="21" t="s">
        <v>37</v>
      </c>
      <c r="AH70" s="30"/>
      <c r="AI70" s="30"/>
      <c r="AN70" s="22"/>
      <c r="AO70" s="22"/>
      <c r="AP70" s="21" t="s">
        <v>37</v>
      </c>
      <c r="AQ70" s="30"/>
      <c r="AR70" s="30"/>
      <c r="AW70" s="22"/>
      <c r="AX70" s="22"/>
      <c r="AY70" s="21" t="s">
        <v>37</v>
      </c>
      <c r="AZ70" s="30"/>
      <c r="BA70" s="30"/>
      <c r="BF70" s="22"/>
      <c r="BG70" s="22"/>
      <c r="BH70" s="21" t="s">
        <v>37</v>
      </c>
      <c r="BI70" s="30"/>
      <c r="BJ70" s="30"/>
    </row>
    <row r="71" spans="2:64" ht="15" customHeight="1">
      <c r="B71" s="23" t="str">
        <f>'★個人成績表★'!$A$1</f>
        <v>第28回　京阪神和奈滋対抗戦　　　(大阪；玉出エース)</v>
      </c>
      <c r="C71" s="36"/>
      <c r="D71" s="36"/>
      <c r="E71" s="36"/>
      <c r="F71" s="36"/>
      <c r="G71" s="36"/>
      <c r="H71" s="37"/>
      <c r="K71" s="23" t="str">
        <f>'★個人成績表★'!$A$1</f>
        <v>第28回　京阪神和奈滋対抗戦　　　(大阪；玉出エース)</v>
      </c>
      <c r="L71" s="36"/>
      <c r="M71" s="36"/>
      <c r="N71" s="36"/>
      <c r="O71" s="36"/>
      <c r="P71" s="36"/>
      <c r="Q71" s="37"/>
      <c r="T71" s="23" t="str">
        <f>'★個人成績表★'!$A$1</f>
        <v>第28回　京阪神和奈滋対抗戦　　　(大阪；玉出エース)</v>
      </c>
      <c r="U71" s="36"/>
      <c r="V71" s="36"/>
      <c r="W71" s="36"/>
      <c r="X71" s="36"/>
      <c r="Y71" s="36"/>
      <c r="Z71" s="37"/>
      <c r="AC71" s="23" t="str">
        <f>'★個人成績表★'!$A$1</f>
        <v>第28回　京阪神和奈滋対抗戦　　　(大阪；玉出エース)</v>
      </c>
      <c r="AD71" s="36"/>
      <c r="AE71" s="36"/>
      <c r="AF71" s="36"/>
      <c r="AG71" s="36"/>
      <c r="AH71" s="36"/>
      <c r="AI71" s="37"/>
      <c r="AL71" s="23" t="str">
        <f>'★個人成績表★'!$A$1</f>
        <v>第28回　京阪神和奈滋対抗戦　　　(大阪；玉出エース)</v>
      </c>
      <c r="AM71" s="36"/>
      <c r="AN71" s="36"/>
      <c r="AO71" s="36"/>
      <c r="AP71" s="36"/>
      <c r="AQ71" s="36"/>
      <c r="AR71" s="37"/>
      <c r="AU71" s="23" t="str">
        <f>'★個人成績表★'!$A$1</f>
        <v>第28回　京阪神和奈滋対抗戦　　　(大阪；玉出エース)</v>
      </c>
      <c r="AV71" s="36"/>
      <c r="AW71" s="36"/>
      <c r="AX71" s="36"/>
      <c r="AY71" s="36"/>
      <c r="AZ71" s="36"/>
      <c r="BA71" s="37"/>
      <c r="BD71" s="23" t="str">
        <f>'★個人成績表★'!$A$1</f>
        <v>第28回　京阪神和奈滋対抗戦　　　(大阪；玉出エース)</v>
      </c>
      <c r="BE71" s="36"/>
      <c r="BF71" s="36"/>
      <c r="BG71" s="36"/>
      <c r="BH71" s="36"/>
      <c r="BI71" s="36"/>
      <c r="BJ71" s="37"/>
      <c r="BL71" t="s">
        <v>33</v>
      </c>
    </row>
    <row r="73" spans="2:61" s="38" customFormat="1" ht="15" customHeight="1">
      <c r="B73" s="22" t="s">
        <v>35</v>
      </c>
      <c r="C73" s="30">
        <f>BE63+1</f>
        <v>43</v>
      </c>
      <c r="F73" s="22" t="s">
        <v>36</v>
      </c>
      <c r="G73" s="30"/>
      <c r="K73" s="22" t="s">
        <v>35</v>
      </c>
      <c r="L73" s="30">
        <f>C73+1</f>
        <v>44</v>
      </c>
      <c r="O73" s="22" t="s">
        <v>36</v>
      </c>
      <c r="P73" s="30"/>
      <c r="T73" s="22" t="s">
        <v>35</v>
      </c>
      <c r="U73" s="30">
        <f>L73+1</f>
        <v>45</v>
      </c>
      <c r="X73" s="22" t="s">
        <v>36</v>
      </c>
      <c r="Y73" s="30"/>
      <c r="AC73" s="22" t="s">
        <v>35</v>
      </c>
      <c r="AD73" s="30">
        <f>U73+1</f>
        <v>46</v>
      </c>
      <c r="AG73" s="22" t="s">
        <v>36</v>
      </c>
      <c r="AH73" s="30"/>
      <c r="AL73" s="22" t="s">
        <v>35</v>
      </c>
      <c r="AM73" s="30">
        <f>AD73+1</f>
        <v>47</v>
      </c>
      <c r="AP73" s="22" t="s">
        <v>36</v>
      </c>
      <c r="AQ73" s="30"/>
      <c r="AU73" s="22" t="s">
        <v>35</v>
      </c>
      <c r="AV73" s="30">
        <f>AM73+1</f>
        <v>48</v>
      </c>
      <c r="AY73" s="22" t="s">
        <v>36</v>
      </c>
      <c r="AZ73" s="30"/>
      <c r="BD73" s="22" t="s">
        <v>35</v>
      </c>
      <c r="BE73" s="30">
        <f>AV73+1</f>
        <v>49</v>
      </c>
      <c r="BH73" s="22" t="s">
        <v>36</v>
      </c>
      <c r="BI73" s="30"/>
    </row>
    <row r="74" ht="15" customHeight="1" thickBot="1"/>
    <row r="75" spans="2:62" ht="31.5" customHeight="1">
      <c r="B75" s="39" t="str">
        <f>VLOOKUP(C73,'結果入力表'!$B$2:$J$212,2,FALSE)</f>
        <v>WRC</v>
      </c>
      <c r="C75" s="40"/>
      <c r="D75" s="41"/>
      <c r="E75" s="42" t="s">
        <v>29</v>
      </c>
      <c r="F75" s="43" t="str">
        <f>VLOOKUP(C73,'結果入力表'!$B$2:$J$212,9,FALSE)</f>
        <v>HRC</v>
      </c>
      <c r="G75" s="40"/>
      <c r="H75" s="44"/>
      <c r="K75" s="39" t="str">
        <f>VLOOKUP(L73,'結果入力表'!$B$2:$J$212,2,FALSE)</f>
        <v>WRC</v>
      </c>
      <c r="L75" s="40"/>
      <c r="M75" s="41"/>
      <c r="N75" s="42" t="s">
        <v>29</v>
      </c>
      <c r="O75" s="43" t="str">
        <f>VLOOKUP(L73,'結果入力表'!$B$2:$J$212,9,FALSE)</f>
        <v>HRC</v>
      </c>
      <c r="P75" s="40"/>
      <c r="Q75" s="44"/>
      <c r="T75" s="39" t="str">
        <f>VLOOKUP(U73,'結果入力表'!$B$2:$J$212,2,FALSE)</f>
        <v>WRC</v>
      </c>
      <c r="U75" s="40"/>
      <c r="V75" s="41"/>
      <c r="W75" s="42" t="s">
        <v>29</v>
      </c>
      <c r="X75" s="43" t="str">
        <f>VLOOKUP(U73,'結果入力表'!$B$2:$J$212,9,FALSE)</f>
        <v>HRC</v>
      </c>
      <c r="Y75" s="40"/>
      <c r="Z75" s="44"/>
      <c r="AC75" s="39" t="str">
        <f>VLOOKUP(AD73,'結果入力表'!$B$2:$J$212,2,FALSE)</f>
        <v>WRC</v>
      </c>
      <c r="AD75" s="40"/>
      <c r="AE75" s="41"/>
      <c r="AF75" s="42" t="s">
        <v>29</v>
      </c>
      <c r="AG75" s="43" t="str">
        <f>VLOOKUP(AD73,'結果入力表'!$B$2:$J$212,9,FALSE)</f>
        <v>HRC</v>
      </c>
      <c r="AH75" s="40"/>
      <c r="AI75" s="44"/>
      <c r="AL75" s="39" t="str">
        <f>VLOOKUP(AM73,'結果入力表'!$B$2:$J$212,2,FALSE)</f>
        <v>WRC</v>
      </c>
      <c r="AM75" s="40"/>
      <c r="AN75" s="41"/>
      <c r="AO75" s="42" t="s">
        <v>29</v>
      </c>
      <c r="AP75" s="43" t="str">
        <f>VLOOKUP(AM73,'結果入力表'!$B$2:$J$212,9,FALSE)</f>
        <v>HRC</v>
      </c>
      <c r="AQ75" s="40"/>
      <c r="AR75" s="44"/>
      <c r="AU75" s="39" t="str">
        <f>VLOOKUP(AV73,'結果入力表'!$B$2:$J$212,2,FALSE)</f>
        <v>WRC</v>
      </c>
      <c r="AV75" s="40"/>
      <c r="AW75" s="41"/>
      <c r="AX75" s="42" t="s">
        <v>29</v>
      </c>
      <c r="AY75" s="43" t="str">
        <f>VLOOKUP(AV73,'結果入力表'!$B$2:$J$212,9,FALSE)</f>
        <v>HRC</v>
      </c>
      <c r="AZ75" s="40"/>
      <c r="BA75" s="44"/>
      <c r="BD75" s="39" t="str">
        <f>VLOOKUP(BE73,'結果入力表'!$B$2:$J$212,2,FALSE)</f>
        <v>WRC</v>
      </c>
      <c r="BE75" s="40"/>
      <c r="BF75" s="41"/>
      <c r="BG75" s="42" t="s">
        <v>29</v>
      </c>
      <c r="BH75" s="43" t="str">
        <f>VLOOKUP(BE73,'結果入力表'!$B$2:$J$212,9,FALSE)</f>
        <v>HRC</v>
      </c>
      <c r="BI75" s="40"/>
      <c r="BJ75" s="44"/>
    </row>
    <row r="76" spans="2:62" ht="46.5" customHeight="1">
      <c r="B76" s="438" t="str">
        <f>VLOOKUP(C73,'結果入力表'!$B$2:$J$212,3,FALSE)</f>
        <v>末岡　修</v>
      </c>
      <c r="C76" s="19"/>
      <c r="D76" s="20"/>
      <c r="E76" s="46" t="s">
        <v>30</v>
      </c>
      <c r="F76" s="437" t="str">
        <f>VLOOKUP(C73,'結果入力表'!$B$2:$J$212,8,FALSE)</f>
        <v>堂園 雅也</v>
      </c>
      <c r="G76" s="19"/>
      <c r="H76" s="48"/>
      <c r="K76" s="438" t="str">
        <f>VLOOKUP(L73,'結果入力表'!$B$2:$J$212,3,FALSE)</f>
        <v>杉本 博章</v>
      </c>
      <c r="L76" s="19"/>
      <c r="M76" s="20"/>
      <c r="N76" s="46" t="s">
        <v>30</v>
      </c>
      <c r="O76" s="437" t="str">
        <f>VLOOKUP(L73,'結果入力表'!$B$2:$J$212,8,FALSE)</f>
        <v>長井　充</v>
      </c>
      <c r="P76" s="19"/>
      <c r="Q76" s="48"/>
      <c r="T76" s="438" t="str">
        <f>VLOOKUP(U73,'結果入力表'!$B$2:$J$212,3,FALSE)</f>
        <v>丹次 力良</v>
      </c>
      <c r="U76" s="19"/>
      <c r="V76" s="20"/>
      <c r="W76" s="46" t="s">
        <v>30</v>
      </c>
      <c r="X76" s="437" t="str">
        <f>VLOOKUP(U73,'結果入力表'!$B$2:$J$212,8,FALSE)</f>
        <v>藤中健太郎</v>
      </c>
      <c r="Y76" s="19"/>
      <c r="Z76" s="48"/>
      <c r="AC76" s="438" t="str">
        <f>VLOOKUP(AD73,'結果入力表'!$B$2:$J$212,3,FALSE)</f>
        <v>芝先 泰生</v>
      </c>
      <c r="AD76" s="19"/>
      <c r="AE76" s="20"/>
      <c r="AF76" s="46" t="s">
        <v>30</v>
      </c>
      <c r="AG76" s="437" t="str">
        <f>VLOOKUP(AD73,'結果入力表'!$B$2:$J$212,8,FALSE)</f>
        <v>後藤 勇治</v>
      </c>
      <c r="AH76" s="19"/>
      <c r="AI76" s="48"/>
      <c r="AL76" s="438" t="str">
        <f>VLOOKUP(AM73,'結果入力表'!$B$2:$J$212,3,FALSE)</f>
        <v>岸上 賢一</v>
      </c>
      <c r="AM76" s="19"/>
      <c r="AN76" s="20"/>
      <c r="AO76" s="46" t="s">
        <v>30</v>
      </c>
      <c r="AP76" s="437" t="str">
        <f>VLOOKUP(AM73,'結果入力表'!$B$2:$J$212,8,FALSE)</f>
        <v>丹羽 俊也</v>
      </c>
      <c r="AQ76" s="19"/>
      <c r="AR76" s="48"/>
      <c r="AU76" s="438" t="str">
        <f>VLOOKUP(AV73,'結果入力表'!$B$2:$J$212,3,FALSE)</f>
        <v>中本 雅大</v>
      </c>
      <c r="AV76" s="19"/>
      <c r="AW76" s="20"/>
      <c r="AX76" s="46" t="s">
        <v>30</v>
      </c>
      <c r="AY76" s="437" t="str">
        <f>VLOOKUP(AV73,'結果入力表'!$B$2:$J$212,8,FALSE)</f>
        <v>平井 洸志</v>
      </c>
      <c r="AZ76" s="19"/>
      <c r="BA76" s="48"/>
      <c r="BD76" s="438" t="str">
        <f>VLOOKUP(BE73,'結果入力表'!$B$2:$J$212,3,FALSE)</f>
        <v>松房ゆかり</v>
      </c>
      <c r="BE76" s="19"/>
      <c r="BF76" s="20"/>
      <c r="BG76" s="46" t="s">
        <v>30</v>
      </c>
      <c r="BH76" s="437" t="str">
        <f>VLOOKUP(BE73,'結果入力表'!$B$2:$J$212,8,FALSE)</f>
        <v>栃下 恭子</v>
      </c>
      <c r="BI76" s="19"/>
      <c r="BJ76" s="48"/>
    </row>
    <row r="77" spans="2:62" ht="37.5" customHeight="1">
      <c r="B77" s="49"/>
      <c r="C77" s="19"/>
      <c r="D77" s="20"/>
      <c r="E77" s="46" t="s">
        <v>31</v>
      </c>
      <c r="F77" s="50"/>
      <c r="G77" s="19"/>
      <c r="H77" s="48"/>
      <c r="K77" s="49"/>
      <c r="L77" s="19"/>
      <c r="M77" s="20"/>
      <c r="N77" s="46" t="s">
        <v>31</v>
      </c>
      <c r="O77" s="50"/>
      <c r="P77" s="19"/>
      <c r="Q77" s="48"/>
      <c r="T77" s="49"/>
      <c r="U77" s="19"/>
      <c r="V77" s="20"/>
      <c r="W77" s="46" t="s">
        <v>31</v>
      </c>
      <c r="X77" s="50"/>
      <c r="Y77" s="19"/>
      <c r="Z77" s="48"/>
      <c r="AC77" s="49"/>
      <c r="AD77" s="19"/>
      <c r="AE77" s="20"/>
      <c r="AF77" s="46" t="s">
        <v>31</v>
      </c>
      <c r="AG77" s="50"/>
      <c r="AH77" s="19"/>
      <c r="AI77" s="48"/>
      <c r="AL77" s="49"/>
      <c r="AM77" s="19"/>
      <c r="AN77" s="20"/>
      <c r="AO77" s="46" t="s">
        <v>31</v>
      </c>
      <c r="AP77" s="50"/>
      <c r="AQ77" s="19"/>
      <c r="AR77" s="48"/>
      <c r="AU77" s="49"/>
      <c r="AV77" s="19"/>
      <c r="AW77" s="20"/>
      <c r="AX77" s="46" t="s">
        <v>31</v>
      </c>
      <c r="AY77" s="50"/>
      <c r="AZ77" s="19"/>
      <c r="BA77" s="48"/>
      <c r="BD77" s="49"/>
      <c r="BE77" s="19"/>
      <c r="BF77" s="20"/>
      <c r="BG77" s="46" t="s">
        <v>31</v>
      </c>
      <c r="BH77" s="50"/>
      <c r="BI77" s="19"/>
      <c r="BJ77" s="48"/>
    </row>
    <row r="78" spans="2:62" ht="37.5" customHeight="1" thickBot="1">
      <c r="B78" s="51"/>
      <c r="C78" s="52"/>
      <c r="D78" s="53"/>
      <c r="E78" s="54" t="s">
        <v>32</v>
      </c>
      <c r="F78" s="55"/>
      <c r="G78" s="52"/>
      <c r="H78" s="56"/>
      <c r="K78" s="51"/>
      <c r="L78" s="52"/>
      <c r="M78" s="53"/>
      <c r="N78" s="54" t="s">
        <v>32</v>
      </c>
      <c r="O78" s="55"/>
      <c r="P78" s="52"/>
      <c r="Q78" s="56"/>
      <c r="T78" s="51"/>
      <c r="U78" s="52"/>
      <c r="V78" s="53"/>
      <c r="W78" s="54" t="s">
        <v>32</v>
      </c>
      <c r="X78" s="55"/>
      <c r="Y78" s="52"/>
      <c r="Z78" s="56"/>
      <c r="AC78" s="51"/>
      <c r="AD78" s="52"/>
      <c r="AE78" s="53"/>
      <c r="AF78" s="54" t="s">
        <v>32</v>
      </c>
      <c r="AG78" s="55"/>
      <c r="AH78" s="52"/>
      <c r="AI78" s="56"/>
      <c r="AL78" s="51"/>
      <c r="AM78" s="52"/>
      <c r="AN78" s="53"/>
      <c r="AO78" s="54" t="s">
        <v>32</v>
      </c>
      <c r="AP78" s="55"/>
      <c r="AQ78" s="52"/>
      <c r="AR78" s="56"/>
      <c r="AU78" s="51"/>
      <c r="AV78" s="52"/>
      <c r="AW78" s="53"/>
      <c r="AX78" s="54" t="s">
        <v>32</v>
      </c>
      <c r="AY78" s="55"/>
      <c r="AZ78" s="52"/>
      <c r="BA78" s="56"/>
      <c r="BD78" s="51"/>
      <c r="BE78" s="52"/>
      <c r="BF78" s="53"/>
      <c r="BG78" s="54" t="s">
        <v>32</v>
      </c>
      <c r="BH78" s="55"/>
      <c r="BI78" s="52"/>
      <c r="BJ78" s="56"/>
    </row>
    <row r="80" spans="4:62" ht="15" customHeight="1">
      <c r="D80" s="22"/>
      <c r="E80" s="22"/>
      <c r="F80" s="21" t="s">
        <v>37</v>
      </c>
      <c r="G80" s="30"/>
      <c r="H80" s="30"/>
      <c r="M80" s="22"/>
      <c r="N80" s="22"/>
      <c r="O80" s="21" t="s">
        <v>37</v>
      </c>
      <c r="P80" s="30"/>
      <c r="Q80" s="30"/>
      <c r="V80" s="22"/>
      <c r="W80" s="22"/>
      <c r="X80" s="21" t="s">
        <v>37</v>
      </c>
      <c r="Y80" s="30"/>
      <c r="Z80" s="30"/>
      <c r="AE80" s="22"/>
      <c r="AF80" s="22"/>
      <c r="AG80" s="21" t="s">
        <v>37</v>
      </c>
      <c r="AH80" s="30"/>
      <c r="AI80" s="30"/>
      <c r="AN80" s="22"/>
      <c r="AO80" s="22"/>
      <c r="AP80" s="21" t="s">
        <v>37</v>
      </c>
      <c r="AQ80" s="30"/>
      <c r="AR80" s="30"/>
      <c r="AW80" s="22"/>
      <c r="AX80" s="22"/>
      <c r="AY80" s="21" t="s">
        <v>37</v>
      </c>
      <c r="AZ80" s="30"/>
      <c r="BA80" s="30"/>
      <c r="BF80" s="22"/>
      <c r="BG80" s="22"/>
      <c r="BH80" s="21" t="s">
        <v>37</v>
      </c>
      <c r="BI80" s="30"/>
      <c r="BJ80" s="30"/>
    </row>
    <row r="81" spans="2:64" ht="15" customHeight="1">
      <c r="B81" s="23" t="str">
        <f>'★個人成績表★'!$A$1</f>
        <v>第28回　京阪神和奈滋対抗戦　　　(大阪；玉出エース)</v>
      </c>
      <c r="C81" s="36"/>
      <c r="D81" s="36"/>
      <c r="E81" s="36"/>
      <c r="F81" s="36"/>
      <c r="G81" s="36"/>
      <c r="H81" s="37"/>
      <c r="K81" s="23" t="str">
        <f>'★個人成績表★'!$A$1</f>
        <v>第28回　京阪神和奈滋対抗戦　　　(大阪；玉出エース)</v>
      </c>
      <c r="L81" s="36"/>
      <c r="M81" s="36"/>
      <c r="N81" s="36"/>
      <c r="O81" s="36"/>
      <c r="P81" s="36"/>
      <c r="Q81" s="37"/>
      <c r="T81" s="23" t="str">
        <f>'★個人成績表★'!$A$1</f>
        <v>第28回　京阪神和奈滋対抗戦　　　(大阪；玉出エース)</v>
      </c>
      <c r="U81" s="36"/>
      <c r="V81" s="36"/>
      <c r="W81" s="36"/>
      <c r="X81" s="36"/>
      <c r="Y81" s="36"/>
      <c r="Z81" s="37"/>
      <c r="AC81" s="23" t="str">
        <f>'★個人成績表★'!$A$1</f>
        <v>第28回　京阪神和奈滋対抗戦　　　(大阪；玉出エース)</v>
      </c>
      <c r="AD81" s="36"/>
      <c r="AE81" s="36"/>
      <c r="AF81" s="36"/>
      <c r="AG81" s="36"/>
      <c r="AH81" s="36"/>
      <c r="AI81" s="37"/>
      <c r="AL81" s="23" t="str">
        <f>'★個人成績表★'!$A$1</f>
        <v>第28回　京阪神和奈滋対抗戦　　　(大阪；玉出エース)</v>
      </c>
      <c r="AM81" s="36"/>
      <c r="AN81" s="36"/>
      <c r="AO81" s="36"/>
      <c r="AP81" s="36"/>
      <c r="AQ81" s="36"/>
      <c r="AR81" s="37"/>
      <c r="AU81" s="23" t="str">
        <f>'★個人成績表★'!$A$1</f>
        <v>第28回　京阪神和奈滋対抗戦　　　(大阪；玉出エース)</v>
      </c>
      <c r="AV81" s="36"/>
      <c r="AW81" s="36"/>
      <c r="AX81" s="36"/>
      <c r="AY81" s="36"/>
      <c r="AZ81" s="36"/>
      <c r="BA81" s="37"/>
      <c r="BD81" s="23" t="str">
        <f>'★個人成績表★'!$A$1</f>
        <v>第28回　京阪神和奈滋対抗戦　　　(大阪；玉出エース)</v>
      </c>
      <c r="BE81" s="36"/>
      <c r="BF81" s="36"/>
      <c r="BG81" s="36"/>
      <c r="BH81" s="36"/>
      <c r="BI81" s="36"/>
      <c r="BJ81" s="37"/>
      <c r="BL81" t="s">
        <v>33</v>
      </c>
    </row>
    <row r="83" spans="2:61" s="38" customFormat="1" ht="15" customHeight="1">
      <c r="B83" s="22" t="s">
        <v>35</v>
      </c>
      <c r="C83" s="30">
        <f>BE73+1</f>
        <v>50</v>
      </c>
      <c r="F83" s="22" t="s">
        <v>36</v>
      </c>
      <c r="G83" s="30"/>
      <c r="K83" s="22" t="s">
        <v>35</v>
      </c>
      <c r="L83" s="30">
        <f>C83+1</f>
        <v>51</v>
      </c>
      <c r="O83" s="22" t="s">
        <v>36</v>
      </c>
      <c r="P83" s="30"/>
      <c r="T83" s="22" t="s">
        <v>35</v>
      </c>
      <c r="U83" s="30">
        <f>L83+1</f>
        <v>52</v>
      </c>
      <c r="X83" s="22" t="s">
        <v>36</v>
      </c>
      <c r="Y83" s="30"/>
      <c r="AC83" s="22" t="s">
        <v>35</v>
      </c>
      <c r="AD83" s="30">
        <f>U83+1</f>
        <v>53</v>
      </c>
      <c r="AG83" s="22" t="s">
        <v>36</v>
      </c>
      <c r="AH83" s="30"/>
      <c r="AL83" s="22" t="s">
        <v>35</v>
      </c>
      <c r="AM83" s="30">
        <f>AD83+1</f>
        <v>54</v>
      </c>
      <c r="AP83" s="22" t="s">
        <v>36</v>
      </c>
      <c r="AQ83" s="30"/>
      <c r="AU83" s="22" t="s">
        <v>35</v>
      </c>
      <c r="AV83" s="30">
        <f>AM83+1</f>
        <v>55</v>
      </c>
      <c r="AY83" s="22" t="s">
        <v>36</v>
      </c>
      <c r="AZ83" s="30"/>
      <c r="BD83" s="22" t="s">
        <v>35</v>
      </c>
      <c r="BE83" s="30">
        <f>AV83+1</f>
        <v>56</v>
      </c>
      <c r="BH83" s="22" t="s">
        <v>36</v>
      </c>
      <c r="BI83" s="30"/>
    </row>
    <row r="84" ht="15" customHeight="1" thickBot="1"/>
    <row r="85" spans="2:62" ht="31.5" customHeight="1">
      <c r="B85" s="39" t="str">
        <f>VLOOKUP(C83,'結果入力表'!$B$2:$J$212,2,FALSE)</f>
        <v>SBC</v>
      </c>
      <c r="C85" s="40"/>
      <c r="D85" s="41"/>
      <c r="E85" s="42" t="s">
        <v>29</v>
      </c>
      <c r="F85" s="43" t="str">
        <f>VLOOKUP(C83,'結果入力表'!$B$2:$J$212,9,FALSE)</f>
        <v>ORC</v>
      </c>
      <c r="G85" s="40"/>
      <c r="H85" s="44"/>
      <c r="K85" s="39" t="str">
        <f>VLOOKUP(L83,'結果入力表'!$B$2:$J$212,2,FALSE)</f>
        <v>SBC</v>
      </c>
      <c r="L85" s="40"/>
      <c r="M85" s="41"/>
      <c r="N85" s="42" t="s">
        <v>29</v>
      </c>
      <c r="O85" s="43" t="str">
        <f>VLOOKUP(L83,'結果入力表'!$B$2:$J$212,9,FALSE)</f>
        <v>ORC</v>
      </c>
      <c r="P85" s="40"/>
      <c r="Q85" s="44"/>
      <c r="T85" s="39" t="str">
        <f>VLOOKUP(U83,'結果入力表'!$B$2:$J$212,2,FALSE)</f>
        <v>SBC</v>
      </c>
      <c r="U85" s="40"/>
      <c r="V85" s="41"/>
      <c r="W85" s="42" t="s">
        <v>29</v>
      </c>
      <c r="X85" s="43" t="str">
        <f>VLOOKUP(U83,'結果入力表'!$B$2:$J$212,9,FALSE)</f>
        <v>ORC</v>
      </c>
      <c r="Y85" s="40"/>
      <c r="Z85" s="44"/>
      <c r="AC85" s="39" t="str">
        <f>VLOOKUP(AD83,'結果入力表'!$B$2:$J$212,2,FALSE)</f>
        <v>SBC</v>
      </c>
      <c r="AD85" s="40"/>
      <c r="AE85" s="41"/>
      <c r="AF85" s="42" t="s">
        <v>29</v>
      </c>
      <c r="AG85" s="43" t="str">
        <f>VLOOKUP(AD83,'結果入力表'!$B$2:$J$212,9,FALSE)</f>
        <v>ORC</v>
      </c>
      <c r="AH85" s="40"/>
      <c r="AI85" s="44"/>
      <c r="AL85" s="39" t="str">
        <f>VLOOKUP(AM83,'結果入力表'!$B$2:$J$212,2,FALSE)</f>
        <v>SBC</v>
      </c>
      <c r="AM85" s="40"/>
      <c r="AN85" s="41"/>
      <c r="AO85" s="42" t="s">
        <v>29</v>
      </c>
      <c r="AP85" s="43" t="str">
        <f>VLOOKUP(AM83,'結果入力表'!$B$2:$J$212,9,FALSE)</f>
        <v>ORC</v>
      </c>
      <c r="AQ85" s="40"/>
      <c r="AR85" s="44"/>
      <c r="AU85" s="39" t="str">
        <f>VLOOKUP(AV83,'結果入力表'!$B$2:$J$212,2,FALSE)</f>
        <v>SBC</v>
      </c>
      <c r="AV85" s="40"/>
      <c r="AW85" s="41"/>
      <c r="AX85" s="42" t="s">
        <v>29</v>
      </c>
      <c r="AY85" s="43" t="str">
        <f>VLOOKUP(AV83,'結果入力表'!$B$2:$J$212,9,FALSE)</f>
        <v>ORC</v>
      </c>
      <c r="AZ85" s="40"/>
      <c r="BA85" s="44"/>
      <c r="BD85" s="39" t="str">
        <f>VLOOKUP(BE83,'結果入力表'!$B$2:$J$212,2,FALSE)</f>
        <v>SBC</v>
      </c>
      <c r="BE85" s="40"/>
      <c r="BF85" s="41"/>
      <c r="BG85" s="42" t="s">
        <v>29</v>
      </c>
      <c r="BH85" s="43" t="str">
        <f>VLOOKUP(BE83,'結果入力表'!$B$2:$J$212,9,FALSE)</f>
        <v>ORC</v>
      </c>
      <c r="BI85" s="40"/>
      <c r="BJ85" s="44"/>
    </row>
    <row r="86" spans="2:62" ht="46.5" customHeight="1">
      <c r="B86" s="438" t="str">
        <f>VLOOKUP(C83,'結果入力表'!$B$2:$J$212,3,FALSE)</f>
        <v>西峰 久祐</v>
      </c>
      <c r="C86" s="19"/>
      <c r="D86" s="20"/>
      <c r="E86" s="46" t="s">
        <v>30</v>
      </c>
      <c r="F86" s="437" t="str">
        <f>VLOOKUP(C83,'結果入力表'!$B$2:$J$212,8,FALSE)</f>
        <v>村上 泰辰</v>
      </c>
      <c r="G86" s="19"/>
      <c r="H86" s="48"/>
      <c r="K86" s="438" t="str">
        <f>VLOOKUP(L83,'結果入力表'!$B$2:$J$212,3,FALSE)</f>
        <v>長田 智紀</v>
      </c>
      <c r="L86" s="19"/>
      <c r="M86" s="20"/>
      <c r="N86" s="46" t="s">
        <v>30</v>
      </c>
      <c r="O86" s="437" t="str">
        <f>VLOOKUP(L83,'結果入力表'!$B$2:$J$212,8,FALSE)</f>
        <v>乾　伸綱</v>
      </c>
      <c r="P86" s="19"/>
      <c r="Q86" s="48"/>
      <c r="T86" s="438" t="str">
        <f>VLOOKUP(U83,'結果入力表'!$B$2:$J$212,3,FALSE)</f>
        <v>大橋 義治</v>
      </c>
      <c r="U86" s="19"/>
      <c r="V86" s="20"/>
      <c r="W86" s="46" t="s">
        <v>30</v>
      </c>
      <c r="X86" s="437" t="str">
        <f>VLOOKUP(U83,'結果入力表'!$B$2:$J$212,8,FALSE)</f>
        <v>吉岡 保俊</v>
      </c>
      <c r="Y86" s="19"/>
      <c r="Z86" s="48"/>
      <c r="AC86" s="438" t="str">
        <f>VLOOKUP(AD83,'結果入力表'!$B$2:$J$212,3,FALSE)</f>
        <v>山中 康寛</v>
      </c>
      <c r="AD86" s="19"/>
      <c r="AE86" s="20"/>
      <c r="AF86" s="46" t="s">
        <v>30</v>
      </c>
      <c r="AG86" s="437" t="str">
        <f>VLOOKUP(AD83,'結果入力表'!$B$2:$J$212,8,FALSE)</f>
        <v>山田 玄英</v>
      </c>
      <c r="AH86" s="19"/>
      <c r="AI86" s="48"/>
      <c r="AL86" s="438" t="str">
        <f>VLOOKUP(AM83,'結果入力表'!$B$2:$J$212,3,FALSE)</f>
        <v>高島 太一</v>
      </c>
      <c r="AM86" s="19"/>
      <c r="AN86" s="20"/>
      <c r="AO86" s="46" t="s">
        <v>30</v>
      </c>
      <c r="AP86" s="437" t="str">
        <f>VLOOKUP(AM83,'結果入力表'!$B$2:$J$212,8,FALSE)</f>
        <v>由本　拓</v>
      </c>
      <c r="AQ86" s="19"/>
      <c r="AR86" s="48"/>
      <c r="AU86" s="438" t="str">
        <f>VLOOKUP(AV83,'結果入力表'!$B$2:$J$212,3,FALSE)</f>
        <v>須藤 浩章</v>
      </c>
      <c r="AV86" s="19"/>
      <c r="AW86" s="20"/>
      <c r="AX86" s="46" t="s">
        <v>30</v>
      </c>
      <c r="AY86" s="437" t="str">
        <f>VLOOKUP(AV83,'結果入力表'!$B$2:$J$212,8,FALSE)</f>
        <v>田中 隆介</v>
      </c>
      <c r="AZ86" s="19"/>
      <c r="BA86" s="48"/>
      <c r="BD86" s="438" t="str">
        <f>VLOOKUP(BE83,'結果入力表'!$B$2:$J$212,3,FALSE)</f>
        <v>酒井 美希</v>
      </c>
      <c r="BE86" s="19"/>
      <c r="BF86" s="20"/>
      <c r="BG86" s="46" t="s">
        <v>30</v>
      </c>
      <c r="BH86" s="437" t="str">
        <f>VLOOKUP(BE83,'結果入力表'!$B$2:$J$212,8,FALSE)</f>
        <v>西田 恵子</v>
      </c>
      <c r="BI86" s="19"/>
      <c r="BJ86" s="48"/>
    </row>
    <row r="87" spans="2:62" ht="37.5" customHeight="1">
      <c r="B87" s="49"/>
      <c r="C87" s="19"/>
      <c r="D87" s="20"/>
      <c r="E87" s="46" t="s">
        <v>31</v>
      </c>
      <c r="F87" s="50"/>
      <c r="G87" s="19"/>
      <c r="H87" s="48"/>
      <c r="K87" s="49"/>
      <c r="L87" s="19"/>
      <c r="M87" s="20"/>
      <c r="N87" s="46" t="s">
        <v>31</v>
      </c>
      <c r="O87" s="50"/>
      <c r="P87" s="19"/>
      <c r="Q87" s="48"/>
      <c r="T87" s="49"/>
      <c r="U87" s="19"/>
      <c r="V87" s="20"/>
      <c r="W87" s="46" t="s">
        <v>31</v>
      </c>
      <c r="X87" s="50"/>
      <c r="Y87" s="19"/>
      <c r="Z87" s="48"/>
      <c r="AC87" s="49"/>
      <c r="AD87" s="19"/>
      <c r="AE87" s="20"/>
      <c r="AF87" s="46" t="s">
        <v>31</v>
      </c>
      <c r="AG87" s="50"/>
      <c r="AH87" s="19"/>
      <c r="AI87" s="48"/>
      <c r="AL87" s="49"/>
      <c r="AM87" s="19"/>
      <c r="AN87" s="20"/>
      <c r="AO87" s="46" t="s">
        <v>31</v>
      </c>
      <c r="AP87" s="50"/>
      <c r="AQ87" s="19"/>
      <c r="AR87" s="48"/>
      <c r="AU87" s="49"/>
      <c r="AV87" s="19"/>
      <c r="AW87" s="20"/>
      <c r="AX87" s="46" t="s">
        <v>31</v>
      </c>
      <c r="AY87" s="50"/>
      <c r="AZ87" s="19"/>
      <c r="BA87" s="48"/>
      <c r="BD87" s="49"/>
      <c r="BE87" s="19"/>
      <c r="BF87" s="20"/>
      <c r="BG87" s="46" t="s">
        <v>31</v>
      </c>
      <c r="BH87" s="50"/>
      <c r="BI87" s="19"/>
      <c r="BJ87" s="48"/>
    </row>
    <row r="88" spans="2:62" ht="37.5" customHeight="1" thickBot="1">
      <c r="B88" s="51"/>
      <c r="C88" s="52"/>
      <c r="D88" s="53"/>
      <c r="E88" s="54" t="s">
        <v>32</v>
      </c>
      <c r="F88" s="55"/>
      <c r="G88" s="52"/>
      <c r="H88" s="56"/>
      <c r="K88" s="51"/>
      <c r="L88" s="52"/>
      <c r="M88" s="53"/>
      <c r="N88" s="54" t="s">
        <v>32</v>
      </c>
      <c r="O88" s="55"/>
      <c r="P88" s="52"/>
      <c r="Q88" s="56"/>
      <c r="T88" s="51"/>
      <c r="U88" s="52"/>
      <c r="V88" s="53"/>
      <c r="W88" s="54" t="s">
        <v>32</v>
      </c>
      <c r="X88" s="55"/>
      <c r="Y88" s="52"/>
      <c r="Z88" s="56"/>
      <c r="AC88" s="51"/>
      <c r="AD88" s="52"/>
      <c r="AE88" s="53"/>
      <c r="AF88" s="54" t="s">
        <v>32</v>
      </c>
      <c r="AG88" s="55"/>
      <c r="AH88" s="52"/>
      <c r="AI88" s="56"/>
      <c r="AL88" s="51"/>
      <c r="AM88" s="52"/>
      <c r="AN88" s="53"/>
      <c r="AO88" s="54" t="s">
        <v>32</v>
      </c>
      <c r="AP88" s="55"/>
      <c r="AQ88" s="52"/>
      <c r="AR88" s="56"/>
      <c r="AU88" s="51"/>
      <c r="AV88" s="52"/>
      <c r="AW88" s="53"/>
      <c r="AX88" s="54" t="s">
        <v>32</v>
      </c>
      <c r="AY88" s="55"/>
      <c r="AZ88" s="52"/>
      <c r="BA88" s="56"/>
      <c r="BD88" s="51"/>
      <c r="BE88" s="52"/>
      <c r="BF88" s="53"/>
      <c r="BG88" s="54" t="s">
        <v>32</v>
      </c>
      <c r="BH88" s="55"/>
      <c r="BI88" s="52"/>
      <c r="BJ88" s="56"/>
    </row>
    <row r="90" spans="4:62" ht="15" customHeight="1">
      <c r="D90" s="22"/>
      <c r="E90" s="22"/>
      <c r="F90" s="21" t="s">
        <v>37</v>
      </c>
      <c r="G90" s="30"/>
      <c r="H90" s="30"/>
      <c r="M90" s="22"/>
      <c r="N90" s="22"/>
      <c r="O90" s="21" t="s">
        <v>37</v>
      </c>
      <c r="P90" s="30"/>
      <c r="Q90" s="30"/>
      <c r="V90" s="22"/>
      <c r="W90" s="22"/>
      <c r="X90" s="21" t="s">
        <v>37</v>
      </c>
      <c r="Y90" s="30"/>
      <c r="Z90" s="30"/>
      <c r="AE90" s="22"/>
      <c r="AF90" s="22"/>
      <c r="AG90" s="21" t="s">
        <v>37</v>
      </c>
      <c r="AH90" s="30"/>
      <c r="AI90" s="30"/>
      <c r="AN90" s="22"/>
      <c r="AO90" s="22"/>
      <c r="AP90" s="21" t="s">
        <v>37</v>
      </c>
      <c r="AQ90" s="30"/>
      <c r="AR90" s="30"/>
      <c r="AW90" s="22"/>
      <c r="AX90" s="22"/>
      <c r="AY90" s="21" t="s">
        <v>37</v>
      </c>
      <c r="AZ90" s="30"/>
      <c r="BA90" s="30"/>
      <c r="BF90" s="22"/>
      <c r="BG90" s="22"/>
      <c r="BH90" s="21" t="s">
        <v>37</v>
      </c>
      <c r="BI90" s="30"/>
      <c r="BJ90" s="30"/>
    </row>
    <row r="91" spans="2:64" ht="15" customHeight="1">
      <c r="B91" s="23" t="str">
        <f>'★個人成績表★'!$A$1</f>
        <v>第28回　京阪神和奈滋対抗戦　　　(大阪；玉出エース)</v>
      </c>
      <c r="C91" s="36"/>
      <c r="D91" s="36"/>
      <c r="E91" s="36"/>
      <c r="F91" s="36"/>
      <c r="G91" s="36"/>
      <c r="H91" s="37"/>
      <c r="K91" s="23" t="str">
        <f>'★個人成績表★'!$A$1</f>
        <v>第28回　京阪神和奈滋対抗戦　　　(大阪；玉出エース)</v>
      </c>
      <c r="L91" s="36"/>
      <c r="M91" s="36"/>
      <c r="N91" s="36"/>
      <c r="O91" s="36"/>
      <c r="P91" s="36"/>
      <c r="Q91" s="37"/>
      <c r="T91" s="23" t="str">
        <f>'★個人成績表★'!$A$1</f>
        <v>第28回　京阪神和奈滋対抗戦　　　(大阪；玉出エース)</v>
      </c>
      <c r="U91" s="36"/>
      <c r="V91" s="36"/>
      <c r="W91" s="36"/>
      <c r="X91" s="36"/>
      <c r="Y91" s="36"/>
      <c r="Z91" s="37"/>
      <c r="AC91" s="23" t="str">
        <f>'★個人成績表★'!$A$1</f>
        <v>第28回　京阪神和奈滋対抗戦　　　(大阪；玉出エース)</v>
      </c>
      <c r="AD91" s="36"/>
      <c r="AE91" s="36"/>
      <c r="AF91" s="36"/>
      <c r="AG91" s="36"/>
      <c r="AH91" s="36"/>
      <c r="AI91" s="37"/>
      <c r="AL91" s="23" t="str">
        <f>'★個人成績表★'!$A$1</f>
        <v>第28回　京阪神和奈滋対抗戦　　　(大阪；玉出エース)</v>
      </c>
      <c r="AM91" s="36"/>
      <c r="AN91" s="36"/>
      <c r="AO91" s="36"/>
      <c r="AP91" s="36"/>
      <c r="AQ91" s="36"/>
      <c r="AR91" s="37"/>
      <c r="AU91" s="23" t="str">
        <f>'★個人成績表★'!$A$1</f>
        <v>第28回　京阪神和奈滋対抗戦　　　(大阪；玉出エース)</v>
      </c>
      <c r="AV91" s="36"/>
      <c r="AW91" s="36"/>
      <c r="AX91" s="36"/>
      <c r="AY91" s="36"/>
      <c r="AZ91" s="36"/>
      <c r="BA91" s="37"/>
      <c r="BD91" s="23" t="str">
        <f>'★個人成績表★'!$A$1</f>
        <v>第28回　京阪神和奈滋対抗戦　　　(大阪；玉出エース)</v>
      </c>
      <c r="BE91" s="36"/>
      <c r="BF91" s="36"/>
      <c r="BG91" s="36"/>
      <c r="BH91" s="36"/>
      <c r="BI91" s="36"/>
      <c r="BJ91" s="37"/>
      <c r="BL91" t="s">
        <v>33</v>
      </c>
    </row>
    <row r="93" spans="2:61" s="38" customFormat="1" ht="15" customHeight="1">
      <c r="B93" s="22" t="s">
        <v>35</v>
      </c>
      <c r="C93" s="30">
        <f>BE83+1</f>
        <v>57</v>
      </c>
      <c r="F93" s="22" t="s">
        <v>36</v>
      </c>
      <c r="G93" s="30"/>
      <c r="K93" s="22" t="s">
        <v>35</v>
      </c>
      <c r="L93" s="30">
        <f>C93+1</f>
        <v>58</v>
      </c>
      <c r="O93" s="22" t="s">
        <v>36</v>
      </c>
      <c r="P93" s="30"/>
      <c r="T93" s="22" t="s">
        <v>35</v>
      </c>
      <c r="U93" s="30">
        <f>L93+1</f>
        <v>59</v>
      </c>
      <c r="X93" s="22" t="s">
        <v>36</v>
      </c>
      <c r="Y93" s="30"/>
      <c r="AC93" s="22" t="s">
        <v>35</v>
      </c>
      <c r="AD93" s="30">
        <f>U93+1</f>
        <v>60</v>
      </c>
      <c r="AG93" s="22" t="s">
        <v>36</v>
      </c>
      <c r="AH93" s="30"/>
      <c r="AL93" s="22" t="s">
        <v>35</v>
      </c>
      <c r="AM93" s="30">
        <f>AD93+1</f>
        <v>61</v>
      </c>
      <c r="AP93" s="22" t="s">
        <v>36</v>
      </c>
      <c r="AQ93" s="30"/>
      <c r="AU93" s="22" t="s">
        <v>35</v>
      </c>
      <c r="AV93" s="30">
        <f>AM93+1</f>
        <v>62</v>
      </c>
      <c r="AY93" s="22" t="s">
        <v>36</v>
      </c>
      <c r="AZ93" s="30"/>
      <c r="BD93" s="22" t="s">
        <v>35</v>
      </c>
      <c r="BE93" s="30">
        <f>AV93+1</f>
        <v>63</v>
      </c>
      <c r="BH93" s="22" t="s">
        <v>36</v>
      </c>
      <c r="BI93" s="30"/>
    </row>
    <row r="94" ht="15" customHeight="1" thickBot="1"/>
    <row r="95" spans="2:62" ht="31.5" customHeight="1">
      <c r="B95" s="39" t="str">
        <f>VLOOKUP(C93,'結果入力表'!$B$2:$J$212,2,FALSE)</f>
        <v>KRC</v>
      </c>
      <c r="C95" s="40"/>
      <c r="D95" s="41"/>
      <c r="E95" s="42" t="s">
        <v>29</v>
      </c>
      <c r="F95" s="43" t="str">
        <f>VLOOKUP(C93,'結果入力表'!$B$2:$J$212,9,FALSE)</f>
        <v>NRC</v>
      </c>
      <c r="G95" s="40"/>
      <c r="H95" s="44"/>
      <c r="K95" s="39" t="str">
        <f>VLOOKUP(L93,'結果入力表'!$B$2:$J$212,2,FALSE)</f>
        <v>KRC</v>
      </c>
      <c r="L95" s="40"/>
      <c r="M95" s="41"/>
      <c r="N95" s="42" t="s">
        <v>29</v>
      </c>
      <c r="O95" s="43" t="str">
        <f>VLOOKUP(L93,'結果入力表'!$B$2:$J$212,9,FALSE)</f>
        <v>NRC</v>
      </c>
      <c r="P95" s="40"/>
      <c r="Q95" s="44"/>
      <c r="T95" s="39" t="str">
        <f>VLOOKUP(U93,'結果入力表'!$B$2:$J$212,2,FALSE)</f>
        <v>KRC</v>
      </c>
      <c r="U95" s="40"/>
      <c r="V95" s="41"/>
      <c r="W95" s="42" t="s">
        <v>29</v>
      </c>
      <c r="X95" s="43" t="str">
        <f>VLOOKUP(U93,'結果入力表'!$B$2:$J$212,9,FALSE)</f>
        <v>NRC</v>
      </c>
      <c r="Y95" s="40"/>
      <c r="Z95" s="44"/>
      <c r="AC95" s="39" t="str">
        <f>VLOOKUP(AD93,'結果入力表'!$B$2:$J$212,2,FALSE)</f>
        <v>KRC</v>
      </c>
      <c r="AD95" s="40"/>
      <c r="AE95" s="41"/>
      <c r="AF95" s="42" t="s">
        <v>29</v>
      </c>
      <c r="AG95" s="43" t="str">
        <f>VLOOKUP(AD93,'結果入力表'!$B$2:$J$212,9,FALSE)</f>
        <v>NRC</v>
      </c>
      <c r="AH95" s="40"/>
      <c r="AI95" s="44"/>
      <c r="AL95" s="39" t="str">
        <f>VLOOKUP(AM93,'結果入力表'!$B$2:$J$212,2,FALSE)</f>
        <v>KRC</v>
      </c>
      <c r="AM95" s="40"/>
      <c r="AN95" s="41"/>
      <c r="AO95" s="42" t="s">
        <v>29</v>
      </c>
      <c r="AP95" s="43" t="str">
        <f>VLOOKUP(AM93,'結果入力表'!$B$2:$J$212,9,FALSE)</f>
        <v>NRC</v>
      </c>
      <c r="AQ95" s="40"/>
      <c r="AR95" s="44"/>
      <c r="AU95" s="39" t="str">
        <f>VLOOKUP(AV93,'結果入力表'!$B$2:$J$212,2,FALSE)</f>
        <v>KRC</v>
      </c>
      <c r="AV95" s="40"/>
      <c r="AW95" s="41"/>
      <c r="AX95" s="42" t="s">
        <v>29</v>
      </c>
      <c r="AY95" s="43" t="str">
        <f>VLOOKUP(AV93,'結果入力表'!$B$2:$J$212,9,FALSE)</f>
        <v>NRC</v>
      </c>
      <c r="AZ95" s="40"/>
      <c r="BA95" s="44"/>
      <c r="BD95" s="39" t="str">
        <f>VLOOKUP(BE93,'結果入力表'!$B$2:$J$212,2,FALSE)</f>
        <v>KRC</v>
      </c>
      <c r="BE95" s="40"/>
      <c r="BF95" s="41"/>
      <c r="BG95" s="42" t="s">
        <v>29</v>
      </c>
      <c r="BH95" s="43" t="str">
        <f>VLOOKUP(BE93,'結果入力表'!$B$2:$J$212,9,FALSE)</f>
        <v>NRC</v>
      </c>
      <c r="BI95" s="40"/>
      <c r="BJ95" s="44"/>
    </row>
    <row r="96" spans="2:62" ht="46.5" customHeight="1">
      <c r="B96" s="438" t="str">
        <f>VLOOKUP(C93,'結果入力表'!$B$2:$J$212,3,FALSE)</f>
        <v>折戸 和幸</v>
      </c>
      <c r="C96" s="19"/>
      <c r="D96" s="20"/>
      <c r="E96" s="46" t="s">
        <v>30</v>
      </c>
      <c r="F96" s="437" t="str">
        <f>VLOOKUP(C93,'結果入力表'!$B$2:$J$212,8,FALSE)</f>
        <v>白戸 玲人</v>
      </c>
      <c r="G96" s="19"/>
      <c r="H96" s="48"/>
      <c r="K96" s="438" t="str">
        <f>VLOOKUP(L93,'結果入力表'!$B$2:$J$212,3,FALSE)</f>
        <v>今村 哲也</v>
      </c>
      <c r="L96" s="19"/>
      <c r="M96" s="20"/>
      <c r="N96" s="46" t="s">
        <v>30</v>
      </c>
      <c r="O96" s="437" t="str">
        <f>VLOOKUP(L93,'結果入力表'!$B$2:$J$212,8,FALSE)</f>
        <v>近藤 拓馬</v>
      </c>
      <c r="P96" s="19"/>
      <c r="Q96" s="48"/>
      <c r="T96" s="438" t="str">
        <f>VLOOKUP(U93,'結果入力表'!$B$2:$J$212,3,FALSE)</f>
        <v>小山 久博</v>
      </c>
      <c r="U96" s="19"/>
      <c r="V96" s="20"/>
      <c r="W96" s="46" t="s">
        <v>30</v>
      </c>
      <c r="X96" s="437" t="str">
        <f>VLOOKUP(U93,'結果入力表'!$B$2:$J$212,8,FALSE)</f>
        <v>吉向 翔平</v>
      </c>
      <c r="Y96" s="19"/>
      <c r="Z96" s="48"/>
      <c r="AC96" s="438" t="str">
        <f>VLOOKUP(AD93,'結果入力表'!$B$2:$J$212,3,FALSE)</f>
        <v>伊庭 保久</v>
      </c>
      <c r="AD96" s="19"/>
      <c r="AE96" s="20"/>
      <c r="AF96" s="46" t="s">
        <v>30</v>
      </c>
      <c r="AG96" s="437" t="str">
        <f>VLOOKUP(AD93,'結果入力表'!$B$2:$J$212,8,FALSE)</f>
        <v>山田 普之</v>
      </c>
      <c r="AH96" s="19"/>
      <c r="AI96" s="48"/>
      <c r="AL96" s="438" t="str">
        <f>VLOOKUP(AM93,'結果入力表'!$B$2:$J$212,3,FALSE)</f>
        <v>菊池 靖正</v>
      </c>
      <c r="AM96" s="19"/>
      <c r="AN96" s="20"/>
      <c r="AO96" s="46" t="s">
        <v>30</v>
      </c>
      <c r="AP96" s="437" t="str">
        <f>VLOOKUP(AM93,'結果入力表'!$B$2:$J$212,8,FALSE)</f>
        <v>山田 晃司</v>
      </c>
      <c r="AQ96" s="19"/>
      <c r="AR96" s="48"/>
      <c r="AU96" s="438" t="str">
        <f>VLOOKUP(AV93,'結果入力表'!$B$2:$J$212,3,FALSE)</f>
        <v>田附 裕次</v>
      </c>
      <c r="AV96" s="19"/>
      <c r="AW96" s="20"/>
      <c r="AX96" s="46" t="s">
        <v>30</v>
      </c>
      <c r="AY96" s="437" t="str">
        <f>VLOOKUP(AV93,'結果入力表'!$B$2:$J$212,8,FALSE)</f>
        <v>長谷川 進</v>
      </c>
      <c r="AZ96" s="19"/>
      <c r="BA96" s="48"/>
      <c r="BD96" s="438" t="str">
        <f>VLOOKUP(BE93,'結果入力表'!$B$2:$J$212,3,FALSE)</f>
        <v>森田由佳里</v>
      </c>
      <c r="BE96" s="19"/>
      <c r="BF96" s="20"/>
      <c r="BG96" s="46" t="s">
        <v>30</v>
      </c>
      <c r="BH96" s="437" t="str">
        <f>VLOOKUP(BE93,'結果入力表'!$B$2:$J$212,8,FALSE)</f>
        <v>宮野 早織</v>
      </c>
      <c r="BI96" s="19"/>
      <c r="BJ96" s="48"/>
    </row>
    <row r="97" spans="2:62" ht="37.5" customHeight="1">
      <c r="B97" s="49"/>
      <c r="C97" s="19"/>
      <c r="D97" s="20"/>
      <c r="E97" s="46" t="s">
        <v>31</v>
      </c>
      <c r="F97" s="50"/>
      <c r="G97" s="19"/>
      <c r="H97" s="48"/>
      <c r="K97" s="49"/>
      <c r="L97" s="19"/>
      <c r="M97" s="20"/>
      <c r="N97" s="46" t="s">
        <v>31</v>
      </c>
      <c r="O97" s="50"/>
      <c r="P97" s="19"/>
      <c r="Q97" s="48"/>
      <c r="T97" s="49"/>
      <c r="U97" s="19"/>
      <c r="V97" s="20"/>
      <c r="W97" s="46" t="s">
        <v>31</v>
      </c>
      <c r="X97" s="50"/>
      <c r="Y97" s="19"/>
      <c r="Z97" s="48"/>
      <c r="AC97" s="49"/>
      <c r="AD97" s="19"/>
      <c r="AE97" s="20"/>
      <c r="AF97" s="46" t="s">
        <v>31</v>
      </c>
      <c r="AG97" s="50"/>
      <c r="AH97" s="19"/>
      <c r="AI97" s="48"/>
      <c r="AL97" s="49"/>
      <c r="AM97" s="19"/>
      <c r="AN97" s="20"/>
      <c r="AO97" s="46" t="s">
        <v>31</v>
      </c>
      <c r="AP97" s="50"/>
      <c r="AQ97" s="19"/>
      <c r="AR97" s="48"/>
      <c r="AU97" s="49"/>
      <c r="AV97" s="19"/>
      <c r="AW97" s="20"/>
      <c r="AX97" s="46" t="s">
        <v>31</v>
      </c>
      <c r="AY97" s="50"/>
      <c r="AZ97" s="19"/>
      <c r="BA97" s="48"/>
      <c r="BD97" s="49"/>
      <c r="BE97" s="19"/>
      <c r="BF97" s="20"/>
      <c r="BG97" s="46" t="s">
        <v>31</v>
      </c>
      <c r="BH97" s="50"/>
      <c r="BI97" s="19"/>
      <c r="BJ97" s="48"/>
    </row>
    <row r="98" spans="2:62" ht="37.5" customHeight="1" thickBot="1">
      <c r="B98" s="51"/>
      <c r="C98" s="52"/>
      <c r="D98" s="53"/>
      <c r="E98" s="54" t="s">
        <v>32</v>
      </c>
      <c r="F98" s="55"/>
      <c r="G98" s="52"/>
      <c r="H98" s="56"/>
      <c r="K98" s="51"/>
      <c r="L98" s="52"/>
      <c r="M98" s="53"/>
      <c r="N98" s="54" t="s">
        <v>32</v>
      </c>
      <c r="O98" s="55"/>
      <c r="P98" s="52"/>
      <c r="Q98" s="56"/>
      <c r="T98" s="51"/>
      <c r="U98" s="52"/>
      <c r="V98" s="53"/>
      <c r="W98" s="54" t="s">
        <v>32</v>
      </c>
      <c r="X98" s="55"/>
      <c r="Y98" s="52"/>
      <c r="Z98" s="56"/>
      <c r="AC98" s="51"/>
      <c r="AD98" s="52"/>
      <c r="AE98" s="53"/>
      <c r="AF98" s="54" t="s">
        <v>32</v>
      </c>
      <c r="AG98" s="55"/>
      <c r="AH98" s="52"/>
      <c r="AI98" s="56"/>
      <c r="AL98" s="51"/>
      <c r="AM98" s="52"/>
      <c r="AN98" s="53"/>
      <c r="AO98" s="54" t="s">
        <v>32</v>
      </c>
      <c r="AP98" s="55"/>
      <c r="AQ98" s="52"/>
      <c r="AR98" s="56"/>
      <c r="AU98" s="51"/>
      <c r="AV98" s="52"/>
      <c r="AW98" s="53"/>
      <c r="AX98" s="54" t="s">
        <v>32</v>
      </c>
      <c r="AY98" s="55"/>
      <c r="AZ98" s="52"/>
      <c r="BA98" s="56"/>
      <c r="BD98" s="51"/>
      <c r="BE98" s="52"/>
      <c r="BF98" s="53"/>
      <c r="BG98" s="54" t="s">
        <v>32</v>
      </c>
      <c r="BH98" s="55"/>
      <c r="BI98" s="52"/>
      <c r="BJ98" s="56"/>
    </row>
    <row r="100" spans="4:62" ht="15" customHeight="1">
      <c r="D100" s="22"/>
      <c r="E100" s="22"/>
      <c r="F100" s="21" t="s">
        <v>37</v>
      </c>
      <c r="G100" s="30"/>
      <c r="H100" s="30"/>
      <c r="M100" s="22"/>
      <c r="N100" s="22"/>
      <c r="O100" s="21" t="s">
        <v>37</v>
      </c>
      <c r="P100" s="30"/>
      <c r="Q100" s="30"/>
      <c r="V100" s="22"/>
      <c r="W100" s="22"/>
      <c r="X100" s="21" t="s">
        <v>37</v>
      </c>
      <c r="Y100" s="30"/>
      <c r="Z100" s="30"/>
      <c r="AE100" s="22"/>
      <c r="AF100" s="22"/>
      <c r="AG100" s="21" t="s">
        <v>37</v>
      </c>
      <c r="AH100" s="30"/>
      <c r="AI100" s="30"/>
      <c r="AN100" s="22"/>
      <c r="AO100" s="22"/>
      <c r="AP100" s="21" t="s">
        <v>37</v>
      </c>
      <c r="AQ100" s="30"/>
      <c r="AR100" s="30"/>
      <c r="AW100" s="22"/>
      <c r="AX100" s="22"/>
      <c r="AY100" s="21" t="s">
        <v>37</v>
      </c>
      <c r="AZ100" s="30"/>
      <c r="BA100" s="30"/>
      <c r="BF100" s="22"/>
      <c r="BG100" s="22"/>
      <c r="BH100" s="21" t="s">
        <v>37</v>
      </c>
      <c r="BI100" s="30"/>
      <c r="BJ100" s="30"/>
    </row>
    <row r="101" spans="2:64" ht="15" customHeight="1">
      <c r="B101" s="23" t="str">
        <f>'★個人成績表★'!$A$1</f>
        <v>第28回　京阪神和奈滋対抗戦　　　(大阪；玉出エース)</v>
      </c>
      <c r="C101" s="36"/>
      <c r="D101" s="36"/>
      <c r="E101" s="36"/>
      <c r="F101" s="36"/>
      <c r="G101" s="36"/>
      <c r="H101" s="37"/>
      <c r="K101" s="23" t="str">
        <f>'★個人成績表★'!$A$1</f>
        <v>第28回　京阪神和奈滋対抗戦　　　(大阪；玉出エース)</v>
      </c>
      <c r="L101" s="36"/>
      <c r="M101" s="36"/>
      <c r="N101" s="36"/>
      <c r="O101" s="36"/>
      <c r="P101" s="36"/>
      <c r="Q101" s="37"/>
      <c r="T101" s="23" t="str">
        <f>'★個人成績表★'!$A$1</f>
        <v>第28回　京阪神和奈滋対抗戦　　　(大阪；玉出エース)</v>
      </c>
      <c r="U101" s="36"/>
      <c r="V101" s="36"/>
      <c r="W101" s="36"/>
      <c r="X101" s="36"/>
      <c r="Y101" s="36"/>
      <c r="Z101" s="37"/>
      <c r="AC101" s="23" t="str">
        <f>'★個人成績表★'!$A$1</f>
        <v>第28回　京阪神和奈滋対抗戦　　　(大阪；玉出エース)</v>
      </c>
      <c r="AD101" s="36"/>
      <c r="AE101" s="36"/>
      <c r="AF101" s="36"/>
      <c r="AG101" s="36"/>
      <c r="AH101" s="36"/>
      <c r="AI101" s="37"/>
      <c r="AL101" s="23" t="str">
        <f>'★個人成績表★'!$A$1</f>
        <v>第28回　京阪神和奈滋対抗戦　　　(大阪；玉出エース)</v>
      </c>
      <c r="AM101" s="36"/>
      <c r="AN101" s="36"/>
      <c r="AO101" s="36"/>
      <c r="AP101" s="36"/>
      <c r="AQ101" s="36"/>
      <c r="AR101" s="37"/>
      <c r="AU101" s="23" t="str">
        <f>'★個人成績表★'!$A$1</f>
        <v>第28回　京阪神和奈滋対抗戦　　　(大阪；玉出エース)</v>
      </c>
      <c r="AV101" s="36"/>
      <c r="AW101" s="36"/>
      <c r="AX101" s="36"/>
      <c r="AY101" s="36"/>
      <c r="AZ101" s="36"/>
      <c r="BA101" s="37"/>
      <c r="BD101" s="23" t="str">
        <f>'★個人成績表★'!$A$1</f>
        <v>第28回　京阪神和奈滋対抗戦　　　(大阪；玉出エース)</v>
      </c>
      <c r="BE101" s="36"/>
      <c r="BF101" s="36"/>
      <c r="BG101" s="36"/>
      <c r="BH101" s="36"/>
      <c r="BI101" s="36"/>
      <c r="BJ101" s="37"/>
      <c r="BL101" t="s">
        <v>33</v>
      </c>
    </row>
    <row r="103" spans="2:61" s="38" customFormat="1" ht="15" customHeight="1">
      <c r="B103" s="22" t="s">
        <v>35</v>
      </c>
      <c r="C103" s="30">
        <f>BE93+1</f>
        <v>64</v>
      </c>
      <c r="F103" s="22" t="s">
        <v>36</v>
      </c>
      <c r="G103" s="30"/>
      <c r="K103" s="22" t="s">
        <v>35</v>
      </c>
      <c r="L103" s="30">
        <f>C103+1</f>
        <v>65</v>
      </c>
      <c r="O103" s="22" t="s">
        <v>36</v>
      </c>
      <c r="P103" s="30"/>
      <c r="T103" s="22" t="s">
        <v>35</v>
      </c>
      <c r="U103" s="30">
        <f>L103+1</f>
        <v>66</v>
      </c>
      <c r="X103" s="22" t="s">
        <v>36</v>
      </c>
      <c r="Y103" s="30"/>
      <c r="AC103" s="22" t="s">
        <v>35</v>
      </c>
      <c r="AD103" s="30">
        <f>U103+1</f>
        <v>67</v>
      </c>
      <c r="AG103" s="22" t="s">
        <v>36</v>
      </c>
      <c r="AH103" s="30"/>
      <c r="AL103" s="22" t="s">
        <v>35</v>
      </c>
      <c r="AM103" s="30">
        <f>AD103+1</f>
        <v>68</v>
      </c>
      <c r="AP103" s="22" t="s">
        <v>36</v>
      </c>
      <c r="AQ103" s="30"/>
      <c r="AU103" s="22" t="s">
        <v>35</v>
      </c>
      <c r="AV103" s="30">
        <f>AM103+1</f>
        <v>69</v>
      </c>
      <c r="AY103" s="22" t="s">
        <v>36</v>
      </c>
      <c r="AZ103" s="30"/>
      <c r="BD103" s="22" t="s">
        <v>35</v>
      </c>
      <c r="BE103" s="30">
        <f>AV103+1</f>
        <v>70</v>
      </c>
      <c r="BH103" s="22" t="s">
        <v>36</v>
      </c>
      <c r="BI103" s="30"/>
    </row>
    <row r="104" ht="15" customHeight="1" thickBot="1"/>
    <row r="105" spans="2:62" ht="31.5" customHeight="1">
      <c r="B105" s="39" t="str">
        <f>VLOOKUP(C103,'結果入力表'!$B$2:$J$212,2,FALSE)</f>
        <v>SBC</v>
      </c>
      <c r="C105" s="40"/>
      <c r="D105" s="41"/>
      <c r="E105" s="42" t="s">
        <v>29</v>
      </c>
      <c r="F105" s="43" t="str">
        <f>VLOOKUP(C103,'結果入力表'!$B$2:$J$212,9,FALSE)</f>
        <v>WRC</v>
      </c>
      <c r="G105" s="40"/>
      <c r="H105" s="44"/>
      <c r="K105" s="39" t="str">
        <f>VLOOKUP(L103,'結果入力表'!$B$2:$J$212,2,FALSE)</f>
        <v>SBC</v>
      </c>
      <c r="L105" s="40"/>
      <c r="M105" s="41"/>
      <c r="N105" s="42" t="s">
        <v>29</v>
      </c>
      <c r="O105" s="43" t="str">
        <f>VLOOKUP(L103,'結果入力表'!$B$2:$J$212,9,FALSE)</f>
        <v>WRC</v>
      </c>
      <c r="P105" s="40"/>
      <c r="Q105" s="44"/>
      <c r="T105" s="39" t="str">
        <f>VLOOKUP(U103,'結果入力表'!$B$2:$J$212,2,FALSE)</f>
        <v>SBC</v>
      </c>
      <c r="U105" s="40"/>
      <c r="V105" s="41"/>
      <c r="W105" s="42" t="s">
        <v>29</v>
      </c>
      <c r="X105" s="43" t="str">
        <f>VLOOKUP(U103,'結果入力表'!$B$2:$J$212,9,FALSE)</f>
        <v>WRC</v>
      </c>
      <c r="Y105" s="40"/>
      <c r="Z105" s="44"/>
      <c r="AC105" s="39" t="str">
        <f>VLOOKUP(AD103,'結果入力表'!$B$2:$J$212,2,FALSE)</f>
        <v>SBC</v>
      </c>
      <c r="AD105" s="40"/>
      <c r="AE105" s="41"/>
      <c r="AF105" s="42" t="s">
        <v>29</v>
      </c>
      <c r="AG105" s="43" t="str">
        <f>VLOOKUP(AD103,'結果入力表'!$B$2:$J$212,9,FALSE)</f>
        <v>WRC</v>
      </c>
      <c r="AH105" s="40"/>
      <c r="AI105" s="44"/>
      <c r="AL105" s="39" t="str">
        <f>VLOOKUP(AM103,'結果入力表'!$B$2:$J$212,2,FALSE)</f>
        <v>SBC</v>
      </c>
      <c r="AM105" s="40"/>
      <c r="AN105" s="41"/>
      <c r="AO105" s="42" t="s">
        <v>29</v>
      </c>
      <c r="AP105" s="43" t="str">
        <f>VLOOKUP(AM103,'結果入力表'!$B$2:$J$212,9,FALSE)</f>
        <v>WRC</v>
      </c>
      <c r="AQ105" s="40"/>
      <c r="AR105" s="44"/>
      <c r="AU105" s="39" t="str">
        <f>VLOOKUP(AV103,'結果入力表'!$B$2:$J$212,2,FALSE)</f>
        <v>SBC</v>
      </c>
      <c r="AV105" s="40"/>
      <c r="AW105" s="41"/>
      <c r="AX105" s="42" t="s">
        <v>29</v>
      </c>
      <c r="AY105" s="43" t="str">
        <f>VLOOKUP(AV103,'結果入力表'!$B$2:$J$212,9,FALSE)</f>
        <v>WRC</v>
      </c>
      <c r="AZ105" s="40"/>
      <c r="BA105" s="44"/>
      <c r="BD105" s="39" t="str">
        <f>VLOOKUP(BE103,'結果入力表'!$B$2:$J$212,2,FALSE)</f>
        <v>SBC</v>
      </c>
      <c r="BE105" s="40"/>
      <c r="BF105" s="41"/>
      <c r="BG105" s="42" t="s">
        <v>29</v>
      </c>
      <c r="BH105" s="43" t="str">
        <f>VLOOKUP(BE103,'結果入力表'!$B$2:$J$212,9,FALSE)</f>
        <v>WRC</v>
      </c>
      <c r="BI105" s="40"/>
      <c r="BJ105" s="44"/>
    </row>
    <row r="106" spans="2:62" ht="46.5" customHeight="1">
      <c r="B106" s="438" t="str">
        <f>VLOOKUP(C103,'結果入力表'!$B$2:$J$212,3,FALSE)</f>
        <v>西峰 久祐</v>
      </c>
      <c r="C106" s="19"/>
      <c r="D106" s="20"/>
      <c r="E106" s="46" t="s">
        <v>30</v>
      </c>
      <c r="F106" s="437" t="str">
        <f>VLOOKUP(C103,'結果入力表'!$B$2:$J$212,8,FALSE)</f>
        <v>末岡　修</v>
      </c>
      <c r="G106" s="19"/>
      <c r="H106" s="48"/>
      <c r="K106" s="438" t="str">
        <f>VLOOKUP(L103,'結果入力表'!$B$2:$J$212,3,FALSE)</f>
        <v>長田 智紀</v>
      </c>
      <c r="L106" s="19"/>
      <c r="M106" s="20"/>
      <c r="N106" s="46" t="s">
        <v>30</v>
      </c>
      <c r="O106" s="437" t="str">
        <f>VLOOKUP(L103,'結果入力表'!$B$2:$J$212,8,FALSE)</f>
        <v>杉本 博章</v>
      </c>
      <c r="P106" s="19"/>
      <c r="Q106" s="48"/>
      <c r="T106" s="438" t="str">
        <f>VLOOKUP(U103,'結果入力表'!$B$2:$J$212,3,FALSE)</f>
        <v>大橋 義治</v>
      </c>
      <c r="U106" s="19"/>
      <c r="V106" s="20"/>
      <c r="W106" s="46" t="s">
        <v>30</v>
      </c>
      <c r="X106" s="437" t="str">
        <f>VLOOKUP(U103,'結果入力表'!$B$2:$J$212,8,FALSE)</f>
        <v>丹次 力良</v>
      </c>
      <c r="Y106" s="19"/>
      <c r="Z106" s="48"/>
      <c r="AC106" s="438" t="str">
        <f>VLOOKUP(AD103,'結果入力表'!$B$2:$J$212,3,FALSE)</f>
        <v>山中 康寛</v>
      </c>
      <c r="AD106" s="19"/>
      <c r="AE106" s="20"/>
      <c r="AF106" s="46" t="s">
        <v>30</v>
      </c>
      <c r="AG106" s="437" t="str">
        <f>VLOOKUP(AD103,'結果入力表'!$B$2:$J$212,8,FALSE)</f>
        <v>芝先 泰生</v>
      </c>
      <c r="AH106" s="19"/>
      <c r="AI106" s="48"/>
      <c r="AL106" s="438" t="str">
        <f>VLOOKUP(AM103,'結果入力表'!$B$2:$J$212,3,FALSE)</f>
        <v>高島 太一</v>
      </c>
      <c r="AM106" s="19"/>
      <c r="AN106" s="20"/>
      <c r="AO106" s="46" t="s">
        <v>30</v>
      </c>
      <c r="AP106" s="437" t="str">
        <f>VLOOKUP(AM103,'結果入力表'!$B$2:$J$212,8,FALSE)</f>
        <v>岸上 賢一</v>
      </c>
      <c r="AQ106" s="19"/>
      <c r="AR106" s="48"/>
      <c r="AU106" s="438" t="str">
        <f>VLOOKUP(AV103,'結果入力表'!$B$2:$J$212,3,FALSE)</f>
        <v>須藤 浩章</v>
      </c>
      <c r="AV106" s="19"/>
      <c r="AW106" s="20"/>
      <c r="AX106" s="46" t="s">
        <v>30</v>
      </c>
      <c r="AY106" s="437" t="str">
        <f>VLOOKUP(AV103,'結果入力表'!$B$2:$J$212,8,FALSE)</f>
        <v>中本 雅大</v>
      </c>
      <c r="AZ106" s="19"/>
      <c r="BA106" s="48"/>
      <c r="BD106" s="438" t="str">
        <f>VLOOKUP(BE103,'結果入力表'!$B$2:$J$212,3,FALSE)</f>
        <v>酒井 美希</v>
      </c>
      <c r="BE106" s="19"/>
      <c r="BF106" s="20"/>
      <c r="BG106" s="46" t="s">
        <v>30</v>
      </c>
      <c r="BH106" s="437" t="str">
        <f>VLOOKUP(BE103,'結果入力表'!$B$2:$J$212,8,FALSE)</f>
        <v>松房ゆかり</v>
      </c>
      <c r="BI106" s="19"/>
      <c r="BJ106" s="48"/>
    </row>
    <row r="107" spans="2:62" ht="37.5" customHeight="1">
      <c r="B107" s="49"/>
      <c r="C107" s="19"/>
      <c r="D107" s="20"/>
      <c r="E107" s="46" t="s">
        <v>31</v>
      </c>
      <c r="F107" s="50"/>
      <c r="G107" s="19"/>
      <c r="H107" s="48"/>
      <c r="K107" s="49"/>
      <c r="L107" s="19"/>
      <c r="M107" s="20"/>
      <c r="N107" s="46" t="s">
        <v>31</v>
      </c>
      <c r="O107" s="50"/>
      <c r="P107" s="19"/>
      <c r="Q107" s="48"/>
      <c r="T107" s="49"/>
      <c r="U107" s="19"/>
      <c r="V107" s="20"/>
      <c r="W107" s="46" t="s">
        <v>31</v>
      </c>
      <c r="X107" s="50"/>
      <c r="Y107" s="19"/>
      <c r="Z107" s="48"/>
      <c r="AC107" s="49"/>
      <c r="AD107" s="19"/>
      <c r="AE107" s="20"/>
      <c r="AF107" s="46" t="s">
        <v>31</v>
      </c>
      <c r="AG107" s="50"/>
      <c r="AH107" s="19"/>
      <c r="AI107" s="48"/>
      <c r="AL107" s="49"/>
      <c r="AM107" s="19"/>
      <c r="AN107" s="20"/>
      <c r="AO107" s="46" t="s">
        <v>31</v>
      </c>
      <c r="AP107" s="50"/>
      <c r="AQ107" s="19"/>
      <c r="AR107" s="48"/>
      <c r="AU107" s="49"/>
      <c r="AV107" s="19"/>
      <c r="AW107" s="20"/>
      <c r="AX107" s="46" t="s">
        <v>31</v>
      </c>
      <c r="AY107" s="50"/>
      <c r="AZ107" s="19"/>
      <c r="BA107" s="48"/>
      <c r="BD107" s="49"/>
      <c r="BE107" s="19"/>
      <c r="BF107" s="20"/>
      <c r="BG107" s="46" t="s">
        <v>31</v>
      </c>
      <c r="BH107" s="50"/>
      <c r="BI107" s="19"/>
      <c r="BJ107" s="48"/>
    </row>
    <row r="108" spans="2:62" ht="37.5" customHeight="1" thickBot="1">
      <c r="B108" s="51"/>
      <c r="C108" s="52"/>
      <c r="D108" s="53"/>
      <c r="E108" s="54" t="s">
        <v>32</v>
      </c>
      <c r="F108" s="55"/>
      <c r="G108" s="52"/>
      <c r="H108" s="56"/>
      <c r="K108" s="51"/>
      <c r="L108" s="52"/>
      <c r="M108" s="53"/>
      <c r="N108" s="54" t="s">
        <v>32</v>
      </c>
      <c r="O108" s="55"/>
      <c r="P108" s="52"/>
      <c r="Q108" s="56"/>
      <c r="T108" s="51"/>
      <c r="U108" s="52"/>
      <c r="V108" s="53"/>
      <c r="W108" s="54" t="s">
        <v>32</v>
      </c>
      <c r="X108" s="55"/>
      <c r="Y108" s="52"/>
      <c r="Z108" s="56"/>
      <c r="AC108" s="51"/>
      <c r="AD108" s="52"/>
      <c r="AE108" s="53"/>
      <c r="AF108" s="54" t="s">
        <v>32</v>
      </c>
      <c r="AG108" s="55"/>
      <c r="AH108" s="52"/>
      <c r="AI108" s="56"/>
      <c r="AL108" s="51"/>
      <c r="AM108" s="52"/>
      <c r="AN108" s="53"/>
      <c r="AO108" s="54" t="s">
        <v>32</v>
      </c>
      <c r="AP108" s="55"/>
      <c r="AQ108" s="52"/>
      <c r="AR108" s="56"/>
      <c r="AU108" s="51"/>
      <c r="AV108" s="52"/>
      <c r="AW108" s="53"/>
      <c r="AX108" s="54" t="s">
        <v>32</v>
      </c>
      <c r="AY108" s="55"/>
      <c r="AZ108" s="52"/>
      <c r="BA108" s="56"/>
      <c r="BD108" s="51"/>
      <c r="BE108" s="52"/>
      <c r="BF108" s="53"/>
      <c r="BG108" s="54" t="s">
        <v>32</v>
      </c>
      <c r="BH108" s="55"/>
      <c r="BI108" s="52"/>
      <c r="BJ108" s="56"/>
    </row>
    <row r="110" spans="4:62" ht="15" customHeight="1">
      <c r="D110" s="22"/>
      <c r="E110" s="22"/>
      <c r="F110" s="21" t="s">
        <v>37</v>
      </c>
      <c r="G110" s="30"/>
      <c r="H110" s="30"/>
      <c r="M110" s="22"/>
      <c r="N110" s="22"/>
      <c r="O110" s="21" t="s">
        <v>37</v>
      </c>
      <c r="P110" s="30"/>
      <c r="Q110" s="30"/>
      <c r="V110" s="22"/>
      <c r="W110" s="22"/>
      <c r="X110" s="21" t="s">
        <v>37</v>
      </c>
      <c r="Y110" s="30"/>
      <c r="Z110" s="30"/>
      <c r="AE110" s="22"/>
      <c r="AF110" s="22"/>
      <c r="AG110" s="21" t="s">
        <v>37</v>
      </c>
      <c r="AH110" s="30"/>
      <c r="AI110" s="30"/>
      <c r="AN110" s="22"/>
      <c r="AO110" s="22"/>
      <c r="AP110" s="21" t="s">
        <v>37</v>
      </c>
      <c r="AQ110" s="30"/>
      <c r="AR110" s="30"/>
      <c r="AW110" s="22"/>
      <c r="AX110" s="22"/>
      <c r="AY110" s="21" t="s">
        <v>37</v>
      </c>
      <c r="AZ110" s="30"/>
      <c r="BA110" s="30"/>
      <c r="BF110" s="22"/>
      <c r="BG110" s="22"/>
      <c r="BH110" s="21" t="s">
        <v>37</v>
      </c>
      <c r="BI110" s="30"/>
      <c r="BJ110" s="30"/>
    </row>
    <row r="111" spans="2:64" ht="15" customHeight="1">
      <c r="B111" s="23" t="str">
        <f>'★個人成績表★'!$A$1</f>
        <v>第28回　京阪神和奈滋対抗戦　　　(大阪；玉出エース)</v>
      </c>
      <c r="C111" s="36"/>
      <c r="D111" s="36"/>
      <c r="E111" s="36"/>
      <c r="F111" s="36"/>
      <c r="G111" s="36"/>
      <c r="H111" s="37"/>
      <c r="K111" s="23" t="str">
        <f>'★個人成績表★'!$A$1</f>
        <v>第28回　京阪神和奈滋対抗戦　　　(大阪；玉出エース)</v>
      </c>
      <c r="L111" s="36"/>
      <c r="M111" s="36"/>
      <c r="N111" s="36"/>
      <c r="O111" s="36"/>
      <c r="P111" s="36"/>
      <c r="Q111" s="37"/>
      <c r="T111" s="23" t="str">
        <f>'★個人成績表★'!$A$1</f>
        <v>第28回　京阪神和奈滋対抗戦　　　(大阪；玉出エース)</v>
      </c>
      <c r="U111" s="36"/>
      <c r="V111" s="36"/>
      <c r="W111" s="36"/>
      <c r="X111" s="36"/>
      <c r="Y111" s="36"/>
      <c r="Z111" s="37"/>
      <c r="AC111" s="23" t="str">
        <f>'★個人成績表★'!$A$1</f>
        <v>第28回　京阪神和奈滋対抗戦　　　(大阪；玉出エース)</v>
      </c>
      <c r="AD111" s="36"/>
      <c r="AE111" s="36"/>
      <c r="AF111" s="36"/>
      <c r="AG111" s="36"/>
      <c r="AH111" s="36"/>
      <c r="AI111" s="37"/>
      <c r="AL111" s="23" t="str">
        <f>'★個人成績表★'!$A$1</f>
        <v>第28回　京阪神和奈滋対抗戦　　　(大阪；玉出エース)</v>
      </c>
      <c r="AM111" s="36"/>
      <c r="AN111" s="36"/>
      <c r="AO111" s="36"/>
      <c r="AP111" s="36"/>
      <c r="AQ111" s="36"/>
      <c r="AR111" s="37"/>
      <c r="AU111" s="23" t="str">
        <f>'★個人成績表★'!$A$1</f>
        <v>第28回　京阪神和奈滋対抗戦　　　(大阪；玉出エース)</v>
      </c>
      <c r="AV111" s="36"/>
      <c r="AW111" s="36"/>
      <c r="AX111" s="36"/>
      <c r="AY111" s="36"/>
      <c r="AZ111" s="36"/>
      <c r="BA111" s="37"/>
      <c r="BD111" s="23" t="str">
        <f>'★個人成績表★'!$A$1</f>
        <v>第28回　京阪神和奈滋対抗戦　　　(大阪；玉出エース)</v>
      </c>
      <c r="BE111" s="36"/>
      <c r="BF111" s="36"/>
      <c r="BG111" s="36"/>
      <c r="BH111" s="36"/>
      <c r="BI111" s="36"/>
      <c r="BJ111" s="37"/>
      <c r="BL111" t="s">
        <v>33</v>
      </c>
    </row>
    <row r="113" spans="2:61" s="38" customFormat="1" ht="15" customHeight="1">
      <c r="B113" s="22" t="s">
        <v>35</v>
      </c>
      <c r="C113" s="30">
        <f>BE103+1</f>
        <v>71</v>
      </c>
      <c r="F113" s="22" t="s">
        <v>36</v>
      </c>
      <c r="G113" s="30"/>
      <c r="K113" s="22" t="s">
        <v>35</v>
      </c>
      <c r="L113" s="30">
        <f>C113+1</f>
        <v>72</v>
      </c>
      <c r="O113" s="22" t="s">
        <v>36</v>
      </c>
      <c r="P113" s="30"/>
      <c r="T113" s="22" t="s">
        <v>35</v>
      </c>
      <c r="U113" s="30">
        <f>L113+1</f>
        <v>73</v>
      </c>
      <c r="X113" s="22" t="s">
        <v>36</v>
      </c>
      <c r="Y113" s="30"/>
      <c r="AC113" s="22" t="s">
        <v>35</v>
      </c>
      <c r="AD113" s="30">
        <f>U113+1</f>
        <v>74</v>
      </c>
      <c r="AG113" s="22" t="s">
        <v>36</v>
      </c>
      <c r="AH113" s="30"/>
      <c r="AL113" s="22" t="s">
        <v>35</v>
      </c>
      <c r="AM113" s="30">
        <f>AD113+1</f>
        <v>75</v>
      </c>
      <c r="AP113" s="22" t="s">
        <v>36</v>
      </c>
      <c r="AQ113" s="30"/>
      <c r="AU113" s="22" t="s">
        <v>35</v>
      </c>
      <c r="AV113" s="30">
        <f>AM113+1</f>
        <v>76</v>
      </c>
      <c r="AY113" s="22" t="s">
        <v>36</v>
      </c>
      <c r="AZ113" s="30"/>
      <c r="BD113" s="22" t="s">
        <v>35</v>
      </c>
      <c r="BE113" s="30">
        <f>AV113+1</f>
        <v>77</v>
      </c>
      <c r="BH113" s="22" t="s">
        <v>36</v>
      </c>
      <c r="BI113" s="30"/>
    </row>
    <row r="114" ht="15" customHeight="1" thickBot="1"/>
    <row r="115" spans="2:62" ht="31.5" customHeight="1">
      <c r="B115" s="39" t="str">
        <f>VLOOKUP(C113,'結果入力表'!$B$2:$J$212,2,FALSE)</f>
        <v>NRC</v>
      </c>
      <c r="C115" s="40"/>
      <c r="D115" s="41"/>
      <c r="E115" s="42" t="s">
        <v>29</v>
      </c>
      <c r="F115" s="43" t="str">
        <f>VLOOKUP(C113,'結果入力表'!$B$2:$J$212,9,FALSE)</f>
        <v>HRC</v>
      </c>
      <c r="G115" s="40"/>
      <c r="H115" s="44"/>
      <c r="K115" s="39" t="str">
        <f>VLOOKUP(L113,'結果入力表'!$B$2:$J$212,2,FALSE)</f>
        <v>NRC</v>
      </c>
      <c r="L115" s="40"/>
      <c r="M115" s="41"/>
      <c r="N115" s="42" t="s">
        <v>29</v>
      </c>
      <c r="O115" s="43" t="str">
        <f>VLOOKUP(L113,'結果入力表'!$B$2:$J$212,9,FALSE)</f>
        <v>HRC</v>
      </c>
      <c r="P115" s="40"/>
      <c r="Q115" s="44"/>
      <c r="T115" s="39" t="str">
        <f>VLOOKUP(U113,'結果入力表'!$B$2:$J$212,2,FALSE)</f>
        <v>NRC</v>
      </c>
      <c r="U115" s="40"/>
      <c r="V115" s="41"/>
      <c r="W115" s="42" t="s">
        <v>29</v>
      </c>
      <c r="X115" s="43" t="str">
        <f>VLOOKUP(U113,'結果入力表'!$B$2:$J$212,9,FALSE)</f>
        <v>HRC</v>
      </c>
      <c r="Y115" s="40"/>
      <c r="Z115" s="44"/>
      <c r="AC115" s="39" t="str">
        <f>VLOOKUP(AD113,'結果入力表'!$B$2:$J$212,2,FALSE)</f>
        <v>NRC</v>
      </c>
      <c r="AD115" s="40"/>
      <c r="AE115" s="41"/>
      <c r="AF115" s="42" t="s">
        <v>29</v>
      </c>
      <c r="AG115" s="43" t="str">
        <f>VLOOKUP(AD113,'結果入力表'!$B$2:$J$212,9,FALSE)</f>
        <v>HRC</v>
      </c>
      <c r="AH115" s="40"/>
      <c r="AI115" s="44"/>
      <c r="AL115" s="39" t="str">
        <f>VLOOKUP(AM113,'結果入力表'!$B$2:$J$212,2,FALSE)</f>
        <v>NRC</v>
      </c>
      <c r="AM115" s="40"/>
      <c r="AN115" s="41"/>
      <c r="AO115" s="42" t="s">
        <v>29</v>
      </c>
      <c r="AP115" s="43" t="str">
        <f>VLOOKUP(AM113,'結果入力表'!$B$2:$J$212,9,FALSE)</f>
        <v>HRC</v>
      </c>
      <c r="AQ115" s="40"/>
      <c r="AR115" s="44"/>
      <c r="AU115" s="39" t="str">
        <f>VLOOKUP(AV113,'結果入力表'!$B$2:$J$212,2,FALSE)</f>
        <v>NRC</v>
      </c>
      <c r="AV115" s="40"/>
      <c r="AW115" s="41"/>
      <c r="AX115" s="42" t="s">
        <v>29</v>
      </c>
      <c r="AY115" s="43" t="str">
        <f>VLOOKUP(AV113,'結果入力表'!$B$2:$J$212,9,FALSE)</f>
        <v>HRC</v>
      </c>
      <c r="AZ115" s="40"/>
      <c r="BA115" s="44"/>
      <c r="BD115" s="39" t="str">
        <f>VLOOKUP(BE113,'結果入力表'!$B$2:$J$212,2,FALSE)</f>
        <v>NRC</v>
      </c>
      <c r="BE115" s="40"/>
      <c r="BF115" s="41"/>
      <c r="BG115" s="42" t="s">
        <v>29</v>
      </c>
      <c r="BH115" s="43" t="str">
        <f>VLOOKUP(BE113,'結果入力表'!$B$2:$J$212,9,FALSE)</f>
        <v>HRC</v>
      </c>
      <c r="BI115" s="40"/>
      <c r="BJ115" s="44"/>
    </row>
    <row r="116" spans="2:62" ht="46.5" customHeight="1">
      <c r="B116" s="438" t="str">
        <f>VLOOKUP(C113,'結果入力表'!$B$2:$J$212,3,FALSE)</f>
        <v>白戸 玲人</v>
      </c>
      <c r="C116" s="19"/>
      <c r="D116" s="20"/>
      <c r="E116" s="46" t="s">
        <v>30</v>
      </c>
      <c r="F116" s="437" t="str">
        <f>VLOOKUP(C113,'結果入力表'!$B$2:$J$212,8,FALSE)</f>
        <v>堂園 雅也</v>
      </c>
      <c r="G116" s="19"/>
      <c r="H116" s="48"/>
      <c r="K116" s="438" t="str">
        <f>VLOOKUP(L113,'結果入力表'!$B$2:$J$212,3,FALSE)</f>
        <v>近藤 拓馬</v>
      </c>
      <c r="L116" s="19"/>
      <c r="M116" s="20"/>
      <c r="N116" s="46" t="s">
        <v>30</v>
      </c>
      <c r="O116" s="437" t="str">
        <f>VLOOKUP(L113,'結果入力表'!$B$2:$J$212,8,FALSE)</f>
        <v>長井　充</v>
      </c>
      <c r="P116" s="19"/>
      <c r="Q116" s="48"/>
      <c r="T116" s="438" t="str">
        <f>VLOOKUP(U113,'結果入力表'!$B$2:$J$212,3,FALSE)</f>
        <v>吉向 翔平</v>
      </c>
      <c r="U116" s="19"/>
      <c r="V116" s="20"/>
      <c r="W116" s="46" t="s">
        <v>30</v>
      </c>
      <c r="X116" s="437" t="str">
        <f>VLOOKUP(U113,'結果入力表'!$B$2:$J$212,8,FALSE)</f>
        <v>藤中健太郎</v>
      </c>
      <c r="Y116" s="19"/>
      <c r="Z116" s="48"/>
      <c r="AC116" s="438" t="str">
        <f>VLOOKUP(AD113,'結果入力表'!$B$2:$J$212,3,FALSE)</f>
        <v>山田 普之</v>
      </c>
      <c r="AD116" s="19"/>
      <c r="AE116" s="20"/>
      <c r="AF116" s="46" t="s">
        <v>30</v>
      </c>
      <c r="AG116" s="437" t="str">
        <f>VLOOKUP(AD113,'結果入力表'!$B$2:$J$212,8,FALSE)</f>
        <v>後藤 勇治</v>
      </c>
      <c r="AH116" s="19"/>
      <c r="AI116" s="48"/>
      <c r="AL116" s="438" t="str">
        <f>VLOOKUP(AM113,'結果入力表'!$B$2:$J$212,3,FALSE)</f>
        <v>山田 晃司</v>
      </c>
      <c r="AM116" s="19"/>
      <c r="AN116" s="20"/>
      <c r="AO116" s="46" t="s">
        <v>30</v>
      </c>
      <c r="AP116" s="437" t="str">
        <f>VLOOKUP(AM113,'結果入力表'!$B$2:$J$212,8,FALSE)</f>
        <v>丹羽 俊也</v>
      </c>
      <c r="AQ116" s="19"/>
      <c r="AR116" s="48"/>
      <c r="AU116" s="438" t="str">
        <f>VLOOKUP(AV113,'結果入力表'!$B$2:$J$212,3,FALSE)</f>
        <v>長谷川 進</v>
      </c>
      <c r="AV116" s="19"/>
      <c r="AW116" s="20"/>
      <c r="AX116" s="46" t="s">
        <v>30</v>
      </c>
      <c r="AY116" s="437" t="str">
        <f>VLOOKUP(AV113,'結果入力表'!$B$2:$J$212,8,FALSE)</f>
        <v>平井 洸志</v>
      </c>
      <c r="AZ116" s="19"/>
      <c r="BA116" s="48"/>
      <c r="BD116" s="438" t="str">
        <f>VLOOKUP(BE113,'結果入力表'!$B$2:$J$212,3,FALSE)</f>
        <v>宮野 早織</v>
      </c>
      <c r="BE116" s="19"/>
      <c r="BF116" s="20"/>
      <c r="BG116" s="46" t="s">
        <v>30</v>
      </c>
      <c r="BH116" s="437" t="str">
        <f>VLOOKUP(BE113,'結果入力表'!$B$2:$J$212,8,FALSE)</f>
        <v>栃下 恭子</v>
      </c>
      <c r="BI116" s="19"/>
      <c r="BJ116" s="48"/>
    </row>
    <row r="117" spans="2:62" ht="37.5" customHeight="1">
      <c r="B117" s="49"/>
      <c r="C117" s="19"/>
      <c r="D117" s="20"/>
      <c r="E117" s="46" t="s">
        <v>31</v>
      </c>
      <c r="F117" s="50"/>
      <c r="G117" s="19"/>
      <c r="H117" s="48"/>
      <c r="K117" s="49"/>
      <c r="L117" s="19"/>
      <c r="M117" s="20"/>
      <c r="N117" s="46" t="s">
        <v>31</v>
      </c>
      <c r="O117" s="50"/>
      <c r="P117" s="19"/>
      <c r="Q117" s="48"/>
      <c r="T117" s="49"/>
      <c r="U117" s="19"/>
      <c r="V117" s="20"/>
      <c r="W117" s="46" t="s">
        <v>31</v>
      </c>
      <c r="X117" s="50"/>
      <c r="Y117" s="19"/>
      <c r="Z117" s="48"/>
      <c r="AC117" s="49"/>
      <c r="AD117" s="19"/>
      <c r="AE117" s="20"/>
      <c r="AF117" s="46" t="s">
        <v>31</v>
      </c>
      <c r="AG117" s="50"/>
      <c r="AH117" s="19"/>
      <c r="AI117" s="48"/>
      <c r="AL117" s="49"/>
      <c r="AM117" s="19"/>
      <c r="AN117" s="20"/>
      <c r="AO117" s="46" t="s">
        <v>31</v>
      </c>
      <c r="AP117" s="50"/>
      <c r="AQ117" s="19"/>
      <c r="AR117" s="48"/>
      <c r="AU117" s="49"/>
      <c r="AV117" s="19"/>
      <c r="AW117" s="20"/>
      <c r="AX117" s="46" t="s">
        <v>31</v>
      </c>
      <c r="AY117" s="50"/>
      <c r="AZ117" s="19"/>
      <c r="BA117" s="48"/>
      <c r="BD117" s="49"/>
      <c r="BE117" s="19"/>
      <c r="BF117" s="20"/>
      <c r="BG117" s="46" t="s">
        <v>31</v>
      </c>
      <c r="BH117" s="50"/>
      <c r="BI117" s="19"/>
      <c r="BJ117" s="48"/>
    </row>
    <row r="118" spans="2:62" ht="37.5" customHeight="1" thickBot="1">
      <c r="B118" s="51"/>
      <c r="C118" s="52"/>
      <c r="D118" s="53"/>
      <c r="E118" s="54" t="s">
        <v>32</v>
      </c>
      <c r="F118" s="55"/>
      <c r="G118" s="52"/>
      <c r="H118" s="56"/>
      <c r="K118" s="51"/>
      <c r="L118" s="52"/>
      <c r="M118" s="53"/>
      <c r="N118" s="54" t="s">
        <v>32</v>
      </c>
      <c r="O118" s="55"/>
      <c r="P118" s="52"/>
      <c r="Q118" s="56"/>
      <c r="T118" s="51"/>
      <c r="U118" s="52"/>
      <c r="V118" s="53"/>
      <c r="W118" s="54" t="s">
        <v>32</v>
      </c>
      <c r="X118" s="55"/>
      <c r="Y118" s="52"/>
      <c r="Z118" s="56"/>
      <c r="AC118" s="51"/>
      <c r="AD118" s="52"/>
      <c r="AE118" s="53"/>
      <c r="AF118" s="54" t="s">
        <v>32</v>
      </c>
      <c r="AG118" s="55"/>
      <c r="AH118" s="52"/>
      <c r="AI118" s="56"/>
      <c r="AL118" s="51"/>
      <c r="AM118" s="52"/>
      <c r="AN118" s="53"/>
      <c r="AO118" s="54" t="s">
        <v>32</v>
      </c>
      <c r="AP118" s="55"/>
      <c r="AQ118" s="52"/>
      <c r="AR118" s="56"/>
      <c r="AU118" s="51"/>
      <c r="AV118" s="52"/>
      <c r="AW118" s="53"/>
      <c r="AX118" s="54" t="s">
        <v>32</v>
      </c>
      <c r="AY118" s="55"/>
      <c r="AZ118" s="52"/>
      <c r="BA118" s="56"/>
      <c r="BD118" s="51"/>
      <c r="BE118" s="52"/>
      <c r="BF118" s="53"/>
      <c r="BG118" s="54" t="s">
        <v>32</v>
      </c>
      <c r="BH118" s="55"/>
      <c r="BI118" s="52"/>
      <c r="BJ118" s="56"/>
    </row>
    <row r="120" spans="4:62" ht="15" customHeight="1">
      <c r="D120" s="22"/>
      <c r="E120" s="22"/>
      <c r="F120" s="21" t="s">
        <v>37</v>
      </c>
      <c r="G120" s="30"/>
      <c r="H120" s="30"/>
      <c r="M120" s="22"/>
      <c r="N120" s="22"/>
      <c r="O120" s="21" t="s">
        <v>37</v>
      </c>
      <c r="P120" s="30"/>
      <c r="Q120" s="30"/>
      <c r="V120" s="22"/>
      <c r="W120" s="22"/>
      <c r="X120" s="21" t="s">
        <v>37</v>
      </c>
      <c r="Y120" s="30"/>
      <c r="Z120" s="30"/>
      <c r="AE120" s="22"/>
      <c r="AF120" s="22"/>
      <c r="AG120" s="21" t="s">
        <v>37</v>
      </c>
      <c r="AH120" s="30"/>
      <c r="AI120" s="30"/>
      <c r="AN120" s="22"/>
      <c r="AO120" s="22"/>
      <c r="AP120" s="21" t="s">
        <v>37</v>
      </c>
      <c r="AQ120" s="30"/>
      <c r="AR120" s="30"/>
      <c r="AW120" s="22"/>
      <c r="AX120" s="22"/>
      <c r="AY120" s="21" t="s">
        <v>37</v>
      </c>
      <c r="AZ120" s="30"/>
      <c r="BA120" s="30"/>
      <c r="BF120" s="22"/>
      <c r="BG120" s="22"/>
      <c r="BH120" s="21" t="s">
        <v>37</v>
      </c>
      <c r="BI120" s="30"/>
      <c r="BJ120" s="30"/>
    </row>
    <row r="121" spans="2:64" ht="15" customHeight="1">
      <c r="B121" s="23" t="str">
        <f>'★個人成績表★'!$A$1</f>
        <v>第28回　京阪神和奈滋対抗戦　　　(大阪；玉出エース)</v>
      </c>
      <c r="C121" s="36"/>
      <c r="D121" s="36"/>
      <c r="E121" s="36"/>
      <c r="F121" s="36"/>
      <c r="G121" s="36"/>
      <c r="H121" s="37"/>
      <c r="K121" s="23" t="str">
        <f>'★個人成績表★'!$A$1</f>
        <v>第28回　京阪神和奈滋対抗戦　　　(大阪；玉出エース)</v>
      </c>
      <c r="L121" s="36"/>
      <c r="M121" s="36"/>
      <c r="N121" s="36"/>
      <c r="O121" s="36"/>
      <c r="P121" s="36"/>
      <c r="Q121" s="37"/>
      <c r="T121" s="23" t="str">
        <f>'★個人成績表★'!$A$1</f>
        <v>第28回　京阪神和奈滋対抗戦　　　(大阪；玉出エース)</v>
      </c>
      <c r="U121" s="36"/>
      <c r="V121" s="36"/>
      <c r="W121" s="36"/>
      <c r="X121" s="36"/>
      <c r="Y121" s="36"/>
      <c r="Z121" s="37"/>
      <c r="AC121" s="23" t="str">
        <f>'★個人成績表★'!$A$1</f>
        <v>第28回　京阪神和奈滋対抗戦　　　(大阪；玉出エース)</v>
      </c>
      <c r="AD121" s="36"/>
      <c r="AE121" s="36"/>
      <c r="AF121" s="36"/>
      <c r="AG121" s="36"/>
      <c r="AH121" s="36"/>
      <c r="AI121" s="37"/>
      <c r="AL121" s="23" t="str">
        <f>'★個人成績表★'!$A$1</f>
        <v>第28回　京阪神和奈滋対抗戦　　　(大阪；玉出エース)</v>
      </c>
      <c r="AM121" s="36"/>
      <c r="AN121" s="36"/>
      <c r="AO121" s="36"/>
      <c r="AP121" s="36"/>
      <c r="AQ121" s="36"/>
      <c r="AR121" s="37"/>
      <c r="AU121" s="23" t="str">
        <f>'★個人成績表★'!$A$1</f>
        <v>第28回　京阪神和奈滋対抗戦　　　(大阪；玉出エース)</v>
      </c>
      <c r="AV121" s="36"/>
      <c r="AW121" s="36"/>
      <c r="AX121" s="36"/>
      <c r="AY121" s="36"/>
      <c r="AZ121" s="36"/>
      <c r="BA121" s="37"/>
      <c r="BD121" s="23" t="str">
        <f>'★個人成績表★'!$A$1</f>
        <v>第28回　京阪神和奈滋対抗戦　　　(大阪；玉出エース)</v>
      </c>
      <c r="BE121" s="36"/>
      <c r="BF121" s="36"/>
      <c r="BG121" s="36"/>
      <c r="BH121" s="36"/>
      <c r="BI121" s="36"/>
      <c r="BJ121" s="37"/>
      <c r="BL121" t="s">
        <v>33</v>
      </c>
    </row>
    <row r="123" spans="2:61" s="38" customFormat="1" ht="15" customHeight="1">
      <c r="B123" s="22" t="s">
        <v>35</v>
      </c>
      <c r="C123" s="30">
        <f>BE113+1</f>
        <v>78</v>
      </c>
      <c r="F123" s="22" t="s">
        <v>36</v>
      </c>
      <c r="G123" s="30"/>
      <c r="K123" s="22" t="s">
        <v>35</v>
      </c>
      <c r="L123" s="30">
        <f>C123+1</f>
        <v>79</v>
      </c>
      <c r="O123" s="22" t="s">
        <v>36</v>
      </c>
      <c r="P123" s="30"/>
      <c r="T123" s="22" t="s">
        <v>35</v>
      </c>
      <c r="U123" s="30">
        <f>L123+1</f>
        <v>80</v>
      </c>
      <c r="X123" s="22" t="s">
        <v>36</v>
      </c>
      <c r="Y123" s="30"/>
      <c r="AC123" s="22" t="s">
        <v>35</v>
      </c>
      <c r="AD123" s="30">
        <f>U123+1</f>
        <v>81</v>
      </c>
      <c r="AG123" s="22" t="s">
        <v>36</v>
      </c>
      <c r="AH123" s="30"/>
      <c r="AL123" s="22" t="s">
        <v>35</v>
      </c>
      <c r="AM123" s="30">
        <f>AD123+1</f>
        <v>82</v>
      </c>
      <c r="AP123" s="22" t="s">
        <v>36</v>
      </c>
      <c r="AQ123" s="30"/>
      <c r="AU123" s="22" t="s">
        <v>35</v>
      </c>
      <c r="AV123" s="30">
        <f>AM123+1</f>
        <v>83</v>
      </c>
      <c r="AY123" s="22" t="s">
        <v>36</v>
      </c>
      <c r="AZ123" s="30"/>
      <c r="BD123" s="22" t="s">
        <v>35</v>
      </c>
      <c r="BE123" s="30">
        <f>AV123+1</f>
        <v>84</v>
      </c>
      <c r="BH123" s="22" t="s">
        <v>36</v>
      </c>
      <c r="BI123" s="30"/>
    </row>
    <row r="124" ht="15" customHeight="1" thickBot="1"/>
    <row r="125" spans="2:62" ht="31.5" customHeight="1">
      <c r="B125" s="39" t="str">
        <f>VLOOKUP(C123,'結果入力表'!$B$2:$J$212,2,FALSE)</f>
        <v>KRC</v>
      </c>
      <c r="C125" s="40"/>
      <c r="D125" s="41"/>
      <c r="E125" s="42" t="s">
        <v>29</v>
      </c>
      <c r="F125" s="43" t="str">
        <f>VLOOKUP(C123,'結果入力表'!$B$2:$J$212,9,FALSE)</f>
        <v>ORC</v>
      </c>
      <c r="G125" s="40"/>
      <c r="H125" s="44"/>
      <c r="K125" s="39" t="str">
        <f>VLOOKUP(L123,'結果入力表'!$B$2:$J$212,2,FALSE)</f>
        <v>KRC</v>
      </c>
      <c r="L125" s="40"/>
      <c r="M125" s="41"/>
      <c r="N125" s="42" t="s">
        <v>29</v>
      </c>
      <c r="O125" s="43" t="str">
        <f>VLOOKUP(L123,'結果入力表'!$B$2:$J$212,9,FALSE)</f>
        <v>ORC</v>
      </c>
      <c r="P125" s="40"/>
      <c r="Q125" s="44"/>
      <c r="T125" s="39" t="str">
        <f>VLOOKUP(U123,'結果入力表'!$B$2:$J$212,2,FALSE)</f>
        <v>KRC</v>
      </c>
      <c r="U125" s="40"/>
      <c r="V125" s="41"/>
      <c r="W125" s="42" t="s">
        <v>29</v>
      </c>
      <c r="X125" s="43" t="str">
        <f>VLOOKUP(U123,'結果入力表'!$B$2:$J$212,9,FALSE)</f>
        <v>ORC</v>
      </c>
      <c r="Y125" s="40"/>
      <c r="Z125" s="44"/>
      <c r="AC125" s="39" t="str">
        <f>VLOOKUP(AD123,'結果入力表'!$B$2:$J$212,2,FALSE)</f>
        <v>KRC</v>
      </c>
      <c r="AD125" s="40"/>
      <c r="AE125" s="41"/>
      <c r="AF125" s="42" t="s">
        <v>29</v>
      </c>
      <c r="AG125" s="43" t="str">
        <f>VLOOKUP(AD123,'結果入力表'!$B$2:$J$212,9,FALSE)</f>
        <v>ORC</v>
      </c>
      <c r="AH125" s="40"/>
      <c r="AI125" s="44"/>
      <c r="AL125" s="39" t="str">
        <f>VLOOKUP(AM123,'結果入力表'!$B$2:$J$212,2,FALSE)</f>
        <v>KRC</v>
      </c>
      <c r="AM125" s="40"/>
      <c r="AN125" s="41"/>
      <c r="AO125" s="42" t="s">
        <v>29</v>
      </c>
      <c r="AP125" s="43" t="str">
        <f>VLOOKUP(AM123,'結果入力表'!$B$2:$J$212,9,FALSE)</f>
        <v>ORC</v>
      </c>
      <c r="AQ125" s="40"/>
      <c r="AR125" s="44"/>
      <c r="AU125" s="39" t="str">
        <f>VLOOKUP(AV123,'結果入力表'!$B$2:$J$212,2,FALSE)</f>
        <v>KRC</v>
      </c>
      <c r="AV125" s="40"/>
      <c r="AW125" s="41"/>
      <c r="AX125" s="42" t="s">
        <v>29</v>
      </c>
      <c r="AY125" s="43" t="str">
        <f>VLOOKUP(AV123,'結果入力表'!$B$2:$J$212,9,FALSE)</f>
        <v>ORC</v>
      </c>
      <c r="AZ125" s="40"/>
      <c r="BA125" s="44"/>
      <c r="BD125" s="39" t="str">
        <f>VLOOKUP(BE123,'結果入力表'!$B$2:$J$212,2,FALSE)</f>
        <v>KRC</v>
      </c>
      <c r="BE125" s="40"/>
      <c r="BF125" s="41"/>
      <c r="BG125" s="42" t="s">
        <v>29</v>
      </c>
      <c r="BH125" s="43" t="str">
        <f>VLOOKUP(BE123,'結果入力表'!$B$2:$J$212,9,FALSE)</f>
        <v>ORC</v>
      </c>
      <c r="BI125" s="40"/>
      <c r="BJ125" s="44"/>
    </row>
    <row r="126" spans="2:62" ht="46.5" customHeight="1">
      <c r="B126" s="438" t="str">
        <f>VLOOKUP(C123,'結果入力表'!$B$2:$J$212,3,FALSE)</f>
        <v>折戸 和幸</v>
      </c>
      <c r="C126" s="19"/>
      <c r="D126" s="20"/>
      <c r="E126" s="46" t="s">
        <v>30</v>
      </c>
      <c r="F126" s="437" t="str">
        <f>VLOOKUP(C123,'結果入力表'!$B$2:$J$212,8,FALSE)</f>
        <v>村上 泰辰</v>
      </c>
      <c r="G126" s="19"/>
      <c r="H126" s="48"/>
      <c r="K126" s="438" t="str">
        <f>VLOOKUP(L123,'結果入力表'!$B$2:$J$212,3,FALSE)</f>
        <v>今村 哲也</v>
      </c>
      <c r="L126" s="19"/>
      <c r="M126" s="20"/>
      <c r="N126" s="46" t="s">
        <v>30</v>
      </c>
      <c r="O126" s="437" t="str">
        <f>VLOOKUP(L123,'結果入力表'!$B$2:$J$212,8,FALSE)</f>
        <v>乾　伸綱</v>
      </c>
      <c r="P126" s="19"/>
      <c r="Q126" s="48"/>
      <c r="T126" s="438" t="str">
        <f>VLOOKUP(U123,'結果入力表'!$B$2:$J$212,3,FALSE)</f>
        <v>小山 久博</v>
      </c>
      <c r="U126" s="19"/>
      <c r="V126" s="20"/>
      <c r="W126" s="46" t="s">
        <v>30</v>
      </c>
      <c r="X126" s="437" t="str">
        <f>VLOOKUP(U123,'結果入力表'!$B$2:$J$212,8,FALSE)</f>
        <v>吉岡 保俊</v>
      </c>
      <c r="Y126" s="19"/>
      <c r="Z126" s="48"/>
      <c r="AC126" s="438" t="str">
        <f>VLOOKUP(AD123,'結果入力表'!$B$2:$J$212,3,FALSE)</f>
        <v>伊庭 保久</v>
      </c>
      <c r="AD126" s="19"/>
      <c r="AE126" s="20"/>
      <c r="AF126" s="46" t="s">
        <v>30</v>
      </c>
      <c r="AG126" s="437" t="str">
        <f>VLOOKUP(AD123,'結果入力表'!$B$2:$J$212,8,FALSE)</f>
        <v>山田 玄英</v>
      </c>
      <c r="AH126" s="19"/>
      <c r="AI126" s="48"/>
      <c r="AL126" s="438" t="str">
        <f>VLOOKUP(AM123,'結果入力表'!$B$2:$J$212,3,FALSE)</f>
        <v>菊池 靖正</v>
      </c>
      <c r="AM126" s="19"/>
      <c r="AN126" s="20"/>
      <c r="AO126" s="46" t="s">
        <v>30</v>
      </c>
      <c r="AP126" s="437" t="str">
        <f>VLOOKUP(AM123,'結果入力表'!$B$2:$J$212,8,FALSE)</f>
        <v>由本　拓</v>
      </c>
      <c r="AQ126" s="19"/>
      <c r="AR126" s="48"/>
      <c r="AU126" s="438" t="str">
        <f>VLOOKUP(AV123,'結果入力表'!$B$2:$J$212,3,FALSE)</f>
        <v>田附 裕次</v>
      </c>
      <c r="AV126" s="19"/>
      <c r="AW126" s="20"/>
      <c r="AX126" s="46" t="s">
        <v>30</v>
      </c>
      <c r="AY126" s="437" t="str">
        <f>VLOOKUP(AV123,'結果入力表'!$B$2:$J$212,8,FALSE)</f>
        <v>田中 隆介</v>
      </c>
      <c r="AZ126" s="19"/>
      <c r="BA126" s="48"/>
      <c r="BD126" s="438" t="str">
        <f>VLOOKUP(BE123,'結果入力表'!$B$2:$J$212,3,FALSE)</f>
        <v>森田由佳里</v>
      </c>
      <c r="BE126" s="19"/>
      <c r="BF126" s="20"/>
      <c r="BG126" s="46" t="s">
        <v>30</v>
      </c>
      <c r="BH126" s="437" t="str">
        <f>VLOOKUP(BE123,'結果入力表'!$B$2:$J$212,8,FALSE)</f>
        <v>西田 恵子</v>
      </c>
      <c r="BI126" s="19"/>
      <c r="BJ126" s="48"/>
    </row>
    <row r="127" spans="2:62" ht="37.5" customHeight="1">
      <c r="B127" s="49"/>
      <c r="C127" s="19"/>
      <c r="D127" s="20"/>
      <c r="E127" s="46" t="s">
        <v>31</v>
      </c>
      <c r="F127" s="50"/>
      <c r="G127" s="19"/>
      <c r="H127" s="48"/>
      <c r="K127" s="49"/>
      <c r="L127" s="19"/>
      <c r="M127" s="20"/>
      <c r="N127" s="46" t="s">
        <v>31</v>
      </c>
      <c r="O127" s="50"/>
      <c r="P127" s="19"/>
      <c r="Q127" s="48"/>
      <c r="T127" s="49"/>
      <c r="U127" s="19"/>
      <c r="V127" s="20"/>
      <c r="W127" s="46" t="s">
        <v>31</v>
      </c>
      <c r="X127" s="50"/>
      <c r="Y127" s="19"/>
      <c r="Z127" s="48"/>
      <c r="AC127" s="49"/>
      <c r="AD127" s="19"/>
      <c r="AE127" s="20"/>
      <c r="AF127" s="46" t="s">
        <v>31</v>
      </c>
      <c r="AG127" s="50"/>
      <c r="AH127" s="19"/>
      <c r="AI127" s="48"/>
      <c r="AL127" s="49"/>
      <c r="AM127" s="19"/>
      <c r="AN127" s="20"/>
      <c r="AO127" s="46" t="s">
        <v>31</v>
      </c>
      <c r="AP127" s="50"/>
      <c r="AQ127" s="19"/>
      <c r="AR127" s="48"/>
      <c r="AU127" s="49"/>
      <c r="AV127" s="19"/>
      <c r="AW127" s="20"/>
      <c r="AX127" s="46" t="s">
        <v>31</v>
      </c>
      <c r="AY127" s="50"/>
      <c r="AZ127" s="19"/>
      <c r="BA127" s="48"/>
      <c r="BD127" s="49"/>
      <c r="BE127" s="19"/>
      <c r="BF127" s="20"/>
      <c r="BG127" s="46" t="s">
        <v>31</v>
      </c>
      <c r="BH127" s="50"/>
      <c r="BI127" s="19"/>
      <c r="BJ127" s="48"/>
    </row>
    <row r="128" spans="2:62" ht="37.5" customHeight="1" thickBot="1">
      <c r="B128" s="51"/>
      <c r="C128" s="52"/>
      <c r="D128" s="53"/>
      <c r="E128" s="54" t="s">
        <v>32</v>
      </c>
      <c r="F128" s="55"/>
      <c r="G128" s="52"/>
      <c r="H128" s="56"/>
      <c r="K128" s="51"/>
      <c r="L128" s="52"/>
      <c r="M128" s="53"/>
      <c r="N128" s="54" t="s">
        <v>32</v>
      </c>
      <c r="O128" s="55"/>
      <c r="P128" s="52"/>
      <c r="Q128" s="56"/>
      <c r="T128" s="51"/>
      <c r="U128" s="52"/>
      <c r="V128" s="53"/>
      <c r="W128" s="54" t="s">
        <v>32</v>
      </c>
      <c r="X128" s="55"/>
      <c r="Y128" s="52"/>
      <c r="Z128" s="56"/>
      <c r="AC128" s="51"/>
      <c r="AD128" s="52"/>
      <c r="AE128" s="53"/>
      <c r="AF128" s="54" t="s">
        <v>32</v>
      </c>
      <c r="AG128" s="55"/>
      <c r="AH128" s="52"/>
      <c r="AI128" s="56"/>
      <c r="AL128" s="51"/>
      <c r="AM128" s="52"/>
      <c r="AN128" s="53"/>
      <c r="AO128" s="54" t="s">
        <v>32</v>
      </c>
      <c r="AP128" s="55"/>
      <c r="AQ128" s="52"/>
      <c r="AR128" s="56"/>
      <c r="AU128" s="51"/>
      <c r="AV128" s="52"/>
      <c r="AW128" s="53"/>
      <c r="AX128" s="54" t="s">
        <v>32</v>
      </c>
      <c r="AY128" s="55"/>
      <c r="AZ128" s="52"/>
      <c r="BA128" s="56"/>
      <c r="BD128" s="51"/>
      <c r="BE128" s="52"/>
      <c r="BF128" s="53"/>
      <c r="BG128" s="54" t="s">
        <v>32</v>
      </c>
      <c r="BH128" s="55"/>
      <c r="BI128" s="52"/>
      <c r="BJ128" s="56"/>
    </row>
    <row r="130" spans="4:62" ht="15" customHeight="1">
      <c r="D130" s="22"/>
      <c r="E130" s="22"/>
      <c r="F130" s="21" t="s">
        <v>37</v>
      </c>
      <c r="G130" s="30"/>
      <c r="H130" s="30"/>
      <c r="M130" s="22"/>
      <c r="N130" s="22"/>
      <c r="O130" s="21" t="s">
        <v>37</v>
      </c>
      <c r="P130" s="30"/>
      <c r="Q130" s="30"/>
      <c r="V130" s="22"/>
      <c r="W130" s="22"/>
      <c r="X130" s="21" t="s">
        <v>37</v>
      </c>
      <c r="Y130" s="30"/>
      <c r="Z130" s="30"/>
      <c r="AE130" s="22"/>
      <c r="AF130" s="22"/>
      <c r="AG130" s="21" t="s">
        <v>37</v>
      </c>
      <c r="AH130" s="30"/>
      <c r="AI130" s="30"/>
      <c r="AN130" s="22"/>
      <c r="AO130" s="22"/>
      <c r="AP130" s="21" t="s">
        <v>37</v>
      </c>
      <c r="AQ130" s="30"/>
      <c r="AR130" s="30"/>
      <c r="AW130" s="22"/>
      <c r="AX130" s="22"/>
      <c r="AY130" s="21" t="s">
        <v>37</v>
      </c>
      <c r="AZ130" s="30"/>
      <c r="BA130" s="30"/>
      <c r="BF130" s="22"/>
      <c r="BG130" s="22"/>
      <c r="BH130" s="21" t="s">
        <v>37</v>
      </c>
      <c r="BI130" s="30"/>
      <c r="BJ130" s="30"/>
    </row>
    <row r="131" spans="2:64" ht="15" customHeight="1">
      <c r="B131" s="23" t="str">
        <f>'★個人成績表★'!$A$1</f>
        <v>第28回　京阪神和奈滋対抗戦　　　(大阪；玉出エース)</v>
      </c>
      <c r="C131" s="36"/>
      <c r="D131" s="36"/>
      <c r="E131" s="36"/>
      <c r="F131" s="36"/>
      <c r="G131" s="36"/>
      <c r="H131" s="37"/>
      <c r="K131" s="23" t="str">
        <f>'★個人成績表★'!$A$1</f>
        <v>第28回　京阪神和奈滋対抗戦　　　(大阪；玉出エース)</v>
      </c>
      <c r="L131" s="36"/>
      <c r="M131" s="36"/>
      <c r="N131" s="36"/>
      <c r="O131" s="36"/>
      <c r="P131" s="36"/>
      <c r="Q131" s="37"/>
      <c r="T131" s="23" t="str">
        <f>'★個人成績表★'!$A$1</f>
        <v>第28回　京阪神和奈滋対抗戦　　　(大阪；玉出エース)</v>
      </c>
      <c r="U131" s="36"/>
      <c r="V131" s="36"/>
      <c r="W131" s="36"/>
      <c r="X131" s="36"/>
      <c r="Y131" s="36"/>
      <c r="Z131" s="37"/>
      <c r="AC131" s="23" t="str">
        <f>'★個人成績表★'!$A$1</f>
        <v>第28回　京阪神和奈滋対抗戦　　　(大阪；玉出エース)</v>
      </c>
      <c r="AD131" s="36"/>
      <c r="AE131" s="36"/>
      <c r="AF131" s="36"/>
      <c r="AG131" s="36"/>
      <c r="AH131" s="36"/>
      <c r="AI131" s="37"/>
      <c r="AL131" s="23" t="str">
        <f>'★個人成績表★'!$A$1</f>
        <v>第28回　京阪神和奈滋対抗戦　　　(大阪；玉出エース)</v>
      </c>
      <c r="AM131" s="36"/>
      <c r="AN131" s="36"/>
      <c r="AO131" s="36"/>
      <c r="AP131" s="36"/>
      <c r="AQ131" s="36"/>
      <c r="AR131" s="37"/>
      <c r="AU131" s="23" t="str">
        <f>'★個人成績表★'!$A$1</f>
        <v>第28回　京阪神和奈滋対抗戦　　　(大阪；玉出エース)</v>
      </c>
      <c r="AV131" s="36"/>
      <c r="AW131" s="36"/>
      <c r="AX131" s="36"/>
      <c r="AY131" s="36"/>
      <c r="AZ131" s="36"/>
      <c r="BA131" s="37"/>
      <c r="BD131" s="23" t="str">
        <f>'★個人成績表★'!$A$1</f>
        <v>第28回　京阪神和奈滋対抗戦　　　(大阪；玉出エース)</v>
      </c>
      <c r="BE131" s="36"/>
      <c r="BF131" s="36"/>
      <c r="BG131" s="36"/>
      <c r="BH131" s="36"/>
      <c r="BI131" s="36"/>
      <c r="BJ131" s="37"/>
      <c r="BL131" t="s">
        <v>33</v>
      </c>
    </row>
    <row r="133" spans="2:61" s="38" customFormat="1" ht="15" customHeight="1">
      <c r="B133" s="22" t="s">
        <v>35</v>
      </c>
      <c r="C133" s="30">
        <f>BE123+1</f>
        <v>85</v>
      </c>
      <c r="F133" s="22" t="s">
        <v>36</v>
      </c>
      <c r="G133" s="30"/>
      <c r="K133" s="22" t="s">
        <v>35</v>
      </c>
      <c r="L133" s="30">
        <f>C133+1</f>
        <v>86</v>
      </c>
      <c r="O133" s="22" t="s">
        <v>36</v>
      </c>
      <c r="P133" s="30"/>
      <c r="T133" s="22" t="s">
        <v>35</v>
      </c>
      <c r="U133" s="30">
        <f>L133+1</f>
        <v>87</v>
      </c>
      <c r="X133" s="22" t="s">
        <v>36</v>
      </c>
      <c r="Y133" s="30"/>
      <c r="AC133" s="22" t="s">
        <v>35</v>
      </c>
      <c r="AD133" s="30">
        <f>U133+1</f>
        <v>88</v>
      </c>
      <c r="AG133" s="22" t="s">
        <v>36</v>
      </c>
      <c r="AH133" s="30"/>
      <c r="AL133" s="22" t="s">
        <v>35</v>
      </c>
      <c r="AM133" s="30">
        <f>AD133+1</f>
        <v>89</v>
      </c>
      <c r="AP133" s="22" t="s">
        <v>36</v>
      </c>
      <c r="AQ133" s="30"/>
      <c r="AU133" s="22" t="s">
        <v>35</v>
      </c>
      <c r="AV133" s="30">
        <f>AM133+1</f>
        <v>90</v>
      </c>
      <c r="AY133" s="22" t="s">
        <v>36</v>
      </c>
      <c r="AZ133" s="30"/>
      <c r="BD133" s="22" t="s">
        <v>35</v>
      </c>
      <c r="BE133" s="30">
        <f>AV133+1</f>
        <v>91</v>
      </c>
      <c r="BH133" s="22" t="s">
        <v>36</v>
      </c>
      <c r="BI133" s="30"/>
    </row>
    <row r="134" ht="15" customHeight="1" thickBot="1"/>
    <row r="135" spans="2:62" ht="31.5" customHeight="1">
      <c r="B135" s="39" t="str">
        <f>VLOOKUP(C133,'結果入力表'!$B$2:$J$212,2,FALSE)</f>
        <v>NRC</v>
      </c>
      <c r="C135" s="40"/>
      <c r="D135" s="41"/>
      <c r="E135" s="42" t="s">
        <v>29</v>
      </c>
      <c r="F135" s="43" t="str">
        <f>VLOOKUP(C133,'結果入力表'!$B$2:$J$212,9,FALSE)</f>
        <v>SBC</v>
      </c>
      <c r="G135" s="40"/>
      <c r="H135" s="44"/>
      <c r="K135" s="39" t="str">
        <f>VLOOKUP(L133,'結果入力表'!$B$2:$J$212,2,FALSE)</f>
        <v>NRC</v>
      </c>
      <c r="L135" s="40"/>
      <c r="M135" s="41"/>
      <c r="N135" s="42" t="s">
        <v>29</v>
      </c>
      <c r="O135" s="43" t="str">
        <f>VLOOKUP(L133,'結果入力表'!$B$2:$J$212,9,FALSE)</f>
        <v>SBC</v>
      </c>
      <c r="P135" s="40"/>
      <c r="Q135" s="44"/>
      <c r="T135" s="39" t="str">
        <f>VLOOKUP(U133,'結果入力表'!$B$2:$J$212,2,FALSE)</f>
        <v>NRC</v>
      </c>
      <c r="U135" s="40"/>
      <c r="V135" s="41"/>
      <c r="W135" s="42" t="s">
        <v>29</v>
      </c>
      <c r="X135" s="43" t="str">
        <f>VLOOKUP(U133,'結果入力表'!$B$2:$J$212,9,FALSE)</f>
        <v>SBC</v>
      </c>
      <c r="Y135" s="40"/>
      <c r="Z135" s="44"/>
      <c r="AC135" s="39" t="str">
        <f>VLOOKUP(AD133,'結果入力表'!$B$2:$J$212,2,FALSE)</f>
        <v>NRC</v>
      </c>
      <c r="AD135" s="40"/>
      <c r="AE135" s="41"/>
      <c r="AF135" s="42" t="s">
        <v>29</v>
      </c>
      <c r="AG135" s="43" t="str">
        <f>VLOOKUP(AD133,'結果入力表'!$B$2:$J$212,9,FALSE)</f>
        <v>SBC</v>
      </c>
      <c r="AH135" s="40"/>
      <c r="AI135" s="44"/>
      <c r="AL135" s="39" t="str">
        <f>VLOOKUP(AM133,'結果入力表'!$B$2:$J$212,2,FALSE)</f>
        <v>NRC</v>
      </c>
      <c r="AM135" s="40"/>
      <c r="AN135" s="41"/>
      <c r="AO135" s="42" t="s">
        <v>29</v>
      </c>
      <c r="AP135" s="43" t="str">
        <f>VLOOKUP(AM133,'結果入力表'!$B$2:$J$212,9,FALSE)</f>
        <v>SBC</v>
      </c>
      <c r="AQ135" s="40"/>
      <c r="AR135" s="44"/>
      <c r="AU135" s="39" t="str">
        <f>VLOOKUP(AV133,'結果入力表'!$B$2:$J$212,2,FALSE)</f>
        <v>NRC</v>
      </c>
      <c r="AV135" s="40"/>
      <c r="AW135" s="41"/>
      <c r="AX135" s="42" t="s">
        <v>29</v>
      </c>
      <c r="AY135" s="43" t="str">
        <f>VLOOKUP(AV133,'結果入力表'!$B$2:$J$212,9,FALSE)</f>
        <v>SBC</v>
      </c>
      <c r="AZ135" s="40"/>
      <c r="BA135" s="44"/>
      <c r="BD135" s="39" t="str">
        <f>VLOOKUP(BE133,'結果入力表'!$B$2:$J$212,2,FALSE)</f>
        <v>NRC</v>
      </c>
      <c r="BE135" s="40"/>
      <c r="BF135" s="41"/>
      <c r="BG135" s="42" t="s">
        <v>29</v>
      </c>
      <c r="BH135" s="43" t="str">
        <f>VLOOKUP(BE133,'結果入力表'!$B$2:$J$212,9,FALSE)</f>
        <v>SBC</v>
      </c>
      <c r="BI135" s="40"/>
      <c r="BJ135" s="44"/>
    </row>
    <row r="136" spans="2:62" ht="46.5" customHeight="1">
      <c r="B136" s="438" t="str">
        <f>VLOOKUP(C133,'結果入力表'!$B$2:$J$212,3,FALSE)</f>
        <v>白戸 玲人</v>
      </c>
      <c r="C136" s="19"/>
      <c r="D136" s="20"/>
      <c r="E136" s="46" t="s">
        <v>30</v>
      </c>
      <c r="F136" s="437" t="str">
        <f>VLOOKUP(C133,'結果入力表'!$B$2:$J$212,8,FALSE)</f>
        <v>西峰 久祐</v>
      </c>
      <c r="G136" s="19"/>
      <c r="H136" s="48"/>
      <c r="K136" s="438" t="str">
        <f>VLOOKUP(L133,'結果入力表'!$B$2:$J$212,3,FALSE)</f>
        <v>近藤 拓馬</v>
      </c>
      <c r="L136" s="19"/>
      <c r="M136" s="20"/>
      <c r="N136" s="46" t="s">
        <v>30</v>
      </c>
      <c r="O136" s="437" t="str">
        <f>VLOOKUP(L133,'結果入力表'!$B$2:$J$212,8,FALSE)</f>
        <v>長田 智紀</v>
      </c>
      <c r="P136" s="19"/>
      <c r="Q136" s="48"/>
      <c r="T136" s="438" t="str">
        <f>VLOOKUP(U133,'結果入力表'!$B$2:$J$212,3,FALSE)</f>
        <v>吉向 翔平</v>
      </c>
      <c r="U136" s="19"/>
      <c r="V136" s="20"/>
      <c r="W136" s="46" t="s">
        <v>30</v>
      </c>
      <c r="X136" s="437" t="str">
        <f>VLOOKUP(U133,'結果入力表'!$B$2:$J$212,8,FALSE)</f>
        <v>大橋 義治</v>
      </c>
      <c r="Y136" s="19"/>
      <c r="Z136" s="48"/>
      <c r="AC136" s="438" t="str">
        <f>VLOOKUP(AD133,'結果入力表'!$B$2:$J$212,3,FALSE)</f>
        <v>山田 普之</v>
      </c>
      <c r="AD136" s="19"/>
      <c r="AE136" s="20"/>
      <c r="AF136" s="46" t="s">
        <v>30</v>
      </c>
      <c r="AG136" s="437" t="str">
        <f>VLOOKUP(AD133,'結果入力表'!$B$2:$J$212,8,FALSE)</f>
        <v>山中 康寛</v>
      </c>
      <c r="AH136" s="19"/>
      <c r="AI136" s="48"/>
      <c r="AL136" s="438" t="str">
        <f>VLOOKUP(AM133,'結果入力表'!$B$2:$J$212,3,FALSE)</f>
        <v>山田 晃司</v>
      </c>
      <c r="AM136" s="19"/>
      <c r="AN136" s="20"/>
      <c r="AO136" s="46" t="s">
        <v>30</v>
      </c>
      <c r="AP136" s="437" t="str">
        <f>VLOOKUP(AM133,'結果入力表'!$B$2:$J$212,8,FALSE)</f>
        <v>高島 太一</v>
      </c>
      <c r="AQ136" s="19"/>
      <c r="AR136" s="48"/>
      <c r="AU136" s="438" t="str">
        <f>VLOOKUP(AV133,'結果入力表'!$B$2:$J$212,3,FALSE)</f>
        <v>長谷川 進</v>
      </c>
      <c r="AV136" s="19"/>
      <c r="AW136" s="20"/>
      <c r="AX136" s="46" t="s">
        <v>30</v>
      </c>
      <c r="AY136" s="437" t="str">
        <f>VLOOKUP(AV133,'結果入力表'!$B$2:$J$212,8,FALSE)</f>
        <v>須藤 浩章</v>
      </c>
      <c r="AZ136" s="19"/>
      <c r="BA136" s="48"/>
      <c r="BD136" s="438" t="str">
        <f>VLOOKUP(BE133,'結果入力表'!$B$2:$J$212,3,FALSE)</f>
        <v>宮野 早織</v>
      </c>
      <c r="BE136" s="19"/>
      <c r="BF136" s="20"/>
      <c r="BG136" s="46" t="s">
        <v>30</v>
      </c>
      <c r="BH136" s="437" t="str">
        <f>VLOOKUP(BE133,'結果入力表'!$B$2:$J$212,8,FALSE)</f>
        <v>酒井 美希</v>
      </c>
      <c r="BI136" s="19"/>
      <c r="BJ136" s="48"/>
    </row>
    <row r="137" spans="2:62" ht="37.5" customHeight="1">
      <c r="B137" s="49"/>
      <c r="C137" s="19"/>
      <c r="D137" s="20"/>
      <c r="E137" s="46" t="s">
        <v>31</v>
      </c>
      <c r="F137" s="50"/>
      <c r="G137" s="19"/>
      <c r="H137" s="48"/>
      <c r="K137" s="49"/>
      <c r="L137" s="19"/>
      <c r="M137" s="20"/>
      <c r="N137" s="46" t="s">
        <v>31</v>
      </c>
      <c r="O137" s="50"/>
      <c r="P137" s="19"/>
      <c r="Q137" s="48"/>
      <c r="T137" s="49"/>
      <c r="U137" s="19"/>
      <c r="V137" s="20"/>
      <c r="W137" s="46" t="s">
        <v>31</v>
      </c>
      <c r="X137" s="50"/>
      <c r="Y137" s="19"/>
      <c r="Z137" s="48"/>
      <c r="AC137" s="49"/>
      <c r="AD137" s="19"/>
      <c r="AE137" s="20"/>
      <c r="AF137" s="46" t="s">
        <v>31</v>
      </c>
      <c r="AG137" s="50"/>
      <c r="AH137" s="19"/>
      <c r="AI137" s="48"/>
      <c r="AL137" s="49"/>
      <c r="AM137" s="19"/>
      <c r="AN137" s="20"/>
      <c r="AO137" s="46" t="s">
        <v>31</v>
      </c>
      <c r="AP137" s="50"/>
      <c r="AQ137" s="19"/>
      <c r="AR137" s="48"/>
      <c r="AU137" s="49"/>
      <c r="AV137" s="19"/>
      <c r="AW137" s="20"/>
      <c r="AX137" s="46" t="s">
        <v>31</v>
      </c>
      <c r="AY137" s="50"/>
      <c r="AZ137" s="19"/>
      <c r="BA137" s="48"/>
      <c r="BD137" s="49"/>
      <c r="BE137" s="19"/>
      <c r="BF137" s="20"/>
      <c r="BG137" s="46" t="s">
        <v>31</v>
      </c>
      <c r="BH137" s="50"/>
      <c r="BI137" s="19"/>
      <c r="BJ137" s="48"/>
    </row>
    <row r="138" spans="2:62" ht="37.5" customHeight="1" thickBot="1">
      <c r="B138" s="51"/>
      <c r="C138" s="52"/>
      <c r="D138" s="53"/>
      <c r="E138" s="54" t="s">
        <v>32</v>
      </c>
      <c r="F138" s="55"/>
      <c r="G138" s="52"/>
      <c r="H138" s="56"/>
      <c r="K138" s="51"/>
      <c r="L138" s="52"/>
      <c r="M138" s="53"/>
      <c r="N138" s="54" t="s">
        <v>32</v>
      </c>
      <c r="O138" s="55"/>
      <c r="P138" s="52"/>
      <c r="Q138" s="56"/>
      <c r="T138" s="51"/>
      <c r="U138" s="52"/>
      <c r="V138" s="53"/>
      <c r="W138" s="54" t="s">
        <v>32</v>
      </c>
      <c r="X138" s="55"/>
      <c r="Y138" s="52"/>
      <c r="Z138" s="56"/>
      <c r="AC138" s="51"/>
      <c r="AD138" s="52"/>
      <c r="AE138" s="53"/>
      <c r="AF138" s="54" t="s">
        <v>32</v>
      </c>
      <c r="AG138" s="55"/>
      <c r="AH138" s="52"/>
      <c r="AI138" s="56"/>
      <c r="AL138" s="51"/>
      <c r="AM138" s="52"/>
      <c r="AN138" s="53"/>
      <c r="AO138" s="54" t="s">
        <v>32</v>
      </c>
      <c r="AP138" s="55"/>
      <c r="AQ138" s="52"/>
      <c r="AR138" s="56"/>
      <c r="AU138" s="51"/>
      <c r="AV138" s="52"/>
      <c r="AW138" s="53"/>
      <c r="AX138" s="54" t="s">
        <v>32</v>
      </c>
      <c r="AY138" s="55"/>
      <c r="AZ138" s="52"/>
      <c r="BA138" s="56"/>
      <c r="BD138" s="51"/>
      <c r="BE138" s="52"/>
      <c r="BF138" s="53"/>
      <c r="BG138" s="54" t="s">
        <v>32</v>
      </c>
      <c r="BH138" s="55"/>
      <c r="BI138" s="52"/>
      <c r="BJ138" s="56"/>
    </row>
    <row r="140" spans="4:62" ht="15" customHeight="1">
      <c r="D140" s="22"/>
      <c r="E140" s="22"/>
      <c r="F140" s="21" t="s">
        <v>37</v>
      </c>
      <c r="G140" s="30"/>
      <c r="H140" s="30"/>
      <c r="M140" s="22"/>
      <c r="N140" s="22"/>
      <c r="O140" s="21" t="s">
        <v>37</v>
      </c>
      <c r="P140" s="30"/>
      <c r="Q140" s="30"/>
      <c r="V140" s="22"/>
      <c r="W140" s="22"/>
      <c r="X140" s="21" t="s">
        <v>37</v>
      </c>
      <c r="Y140" s="30"/>
      <c r="Z140" s="30"/>
      <c r="AE140" s="22"/>
      <c r="AF140" s="22"/>
      <c r="AG140" s="21" t="s">
        <v>37</v>
      </c>
      <c r="AH140" s="30"/>
      <c r="AI140" s="30"/>
      <c r="AN140" s="22"/>
      <c r="AO140" s="22"/>
      <c r="AP140" s="21" t="s">
        <v>37</v>
      </c>
      <c r="AQ140" s="30"/>
      <c r="AR140" s="30"/>
      <c r="AW140" s="22"/>
      <c r="AX140" s="22"/>
      <c r="AY140" s="21" t="s">
        <v>37</v>
      </c>
      <c r="AZ140" s="30"/>
      <c r="BA140" s="30"/>
      <c r="BF140" s="22"/>
      <c r="BG140" s="22"/>
      <c r="BH140" s="21" t="s">
        <v>37</v>
      </c>
      <c r="BI140" s="30"/>
      <c r="BJ140" s="30"/>
    </row>
    <row r="141" spans="2:64" ht="15" customHeight="1">
      <c r="B141" s="23" t="str">
        <f>'★個人成績表★'!$A$1</f>
        <v>第28回　京阪神和奈滋対抗戦　　　(大阪；玉出エース)</v>
      </c>
      <c r="C141" s="36"/>
      <c r="D141" s="36"/>
      <c r="E141" s="36"/>
      <c r="F141" s="36"/>
      <c r="G141" s="36"/>
      <c r="H141" s="37"/>
      <c r="K141" s="23" t="str">
        <f>'★個人成績表★'!$A$1</f>
        <v>第28回　京阪神和奈滋対抗戦　　　(大阪；玉出エース)</v>
      </c>
      <c r="L141" s="36"/>
      <c r="M141" s="36"/>
      <c r="N141" s="36"/>
      <c r="O141" s="36"/>
      <c r="P141" s="36"/>
      <c r="Q141" s="37"/>
      <c r="T141" s="23" t="str">
        <f>'★個人成績表★'!$A$1</f>
        <v>第28回　京阪神和奈滋対抗戦　　　(大阪；玉出エース)</v>
      </c>
      <c r="U141" s="36"/>
      <c r="V141" s="36"/>
      <c r="W141" s="36"/>
      <c r="X141" s="36"/>
      <c r="Y141" s="36"/>
      <c r="Z141" s="37"/>
      <c r="AC141" s="23" t="str">
        <f>'★個人成績表★'!$A$1</f>
        <v>第28回　京阪神和奈滋対抗戦　　　(大阪；玉出エース)</v>
      </c>
      <c r="AD141" s="36"/>
      <c r="AE141" s="36"/>
      <c r="AF141" s="36"/>
      <c r="AG141" s="36"/>
      <c r="AH141" s="36"/>
      <c r="AI141" s="37"/>
      <c r="AL141" s="23" t="str">
        <f>'★個人成績表★'!$A$1</f>
        <v>第28回　京阪神和奈滋対抗戦　　　(大阪；玉出エース)</v>
      </c>
      <c r="AM141" s="36"/>
      <c r="AN141" s="36"/>
      <c r="AO141" s="36"/>
      <c r="AP141" s="36"/>
      <c r="AQ141" s="36"/>
      <c r="AR141" s="37"/>
      <c r="AU141" s="23" t="str">
        <f>'★個人成績表★'!$A$1</f>
        <v>第28回　京阪神和奈滋対抗戦　　　(大阪；玉出エース)</v>
      </c>
      <c r="AV141" s="36"/>
      <c r="AW141" s="36"/>
      <c r="AX141" s="36"/>
      <c r="AY141" s="36"/>
      <c r="AZ141" s="36"/>
      <c r="BA141" s="37"/>
      <c r="BD141" s="23" t="str">
        <f>'★個人成績表★'!$A$1</f>
        <v>第28回　京阪神和奈滋対抗戦　　　(大阪；玉出エース)</v>
      </c>
      <c r="BE141" s="36"/>
      <c r="BF141" s="36"/>
      <c r="BG141" s="36"/>
      <c r="BH141" s="36"/>
      <c r="BI141" s="36"/>
      <c r="BJ141" s="37"/>
      <c r="BL141" t="s">
        <v>33</v>
      </c>
    </row>
    <row r="143" spans="2:61" s="38" customFormat="1" ht="15" customHeight="1">
      <c r="B143" s="22" t="s">
        <v>35</v>
      </c>
      <c r="C143" s="30">
        <f>BE133+1</f>
        <v>92</v>
      </c>
      <c r="F143" s="22" t="s">
        <v>36</v>
      </c>
      <c r="G143" s="30"/>
      <c r="K143" s="22" t="s">
        <v>35</v>
      </c>
      <c r="L143" s="30">
        <f>C143+1</f>
        <v>93</v>
      </c>
      <c r="O143" s="22" t="s">
        <v>36</v>
      </c>
      <c r="P143" s="30"/>
      <c r="T143" s="22" t="s">
        <v>35</v>
      </c>
      <c r="U143" s="30">
        <f>L143+1</f>
        <v>94</v>
      </c>
      <c r="X143" s="22" t="s">
        <v>36</v>
      </c>
      <c r="Y143" s="30"/>
      <c r="AC143" s="22" t="s">
        <v>35</v>
      </c>
      <c r="AD143" s="30">
        <f>U143+1</f>
        <v>95</v>
      </c>
      <c r="AG143" s="22" t="s">
        <v>36</v>
      </c>
      <c r="AH143" s="30"/>
      <c r="AL143" s="22" t="s">
        <v>35</v>
      </c>
      <c r="AM143" s="30">
        <f>AD143+1</f>
        <v>96</v>
      </c>
      <c r="AP143" s="22" t="s">
        <v>36</v>
      </c>
      <c r="AQ143" s="30"/>
      <c r="AU143" s="22" t="s">
        <v>35</v>
      </c>
      <c r="AV143" s="30">
        <f>AM143+1</f>
        <v>97</v>
      </c>
      <c r="AY143" s="22" t="s">
        <v>36</v>
      </c>
      <c r="AZ143" s="30"/>
      <c r="BD143" s="22" t="s">
        <v>35</v>
      </c>
      <c r="BE143" s="30">
        <f>AV143+1</f>
        <v>98</v>
      </c>
      <c r="BH143" s="22" t="s">
        <v>36</v>
      </c>
      <c r="BI143" s="30"/>
    </row>
    <row r="144" ht="15" customHeight="1" thickBot="1"/>
    <row r="145" spans="2:62" ht="31.5" customHeight="1">
      <c r="B145" s="39" t="str">
        <f>VLOOKUP(C143,'結果入力表'!$B$2:$J$212,2,FALSE)</f>
        <v>ORC</v>
      </c>
      <c r="C145" s="40"/>
      <c r="D145" s="41"/>
      <c r="E145" s="42" t="s">
        <v>29</v>
      </c>
      <c r="F145" s="43" t="str">
        <f>VLOOKUP(C143,'結果入力表'!$B$2:$J$212,9,FALSE)</f>
        <v>WRC</v>
      </c>
      <c r="G145" s="40"/>
      <c r="H145" s="44"/>
      <c r="K145" s="39" t="str">
        <f>VLOOKUP(L143,'結果入力表'!$B$2:$J$212,2,FALSE)</f>
        <v>ORC</v>
      </c>
      <c r="L145" s="40"/>
      <c r="M145" s="41"/>
      <c r="N145" s="42" t="s">
        <v>29</v>
      </c>
      <c r="O145" s="43" t="str">
        <f>VLOOKUP(L143,'結果入力表'!$B$2:$J$212,9,FALSE)</f>
        <v>WRC</v>
      </c>
      <c r="P145" s="40"/>
      <c r="Q145" s="44"/>
      <c r="T145" s="39" t="str">
        <f>VLOOKUP(U143,'結果入力表'!$B$2:$J$212,2,FALSE)</f>
        <v>ORC</v>
      </c>
      <c r="U145" s="40"/>
      <c r="V145" s="41"/>
      <c r="W145" s="42" t="s">
        <v>29</v>
      </c>
      <c r="X145" s="43" t="str">
        <f>VLOOKUP(U143,'結果入力表'!$B$2:$J$212,9,FALSE)</f>
        <v>WRC</v>
      </c>
      <c r="Y145" s="40"/>
      <c r="Z145" s="44"/>
      <c r="AC145" s="39" t="str">
        <f>VLOOKUP(AD143,'結果入力表'!$B$2:$J$212,2,FALSE)</f>
        <v>ORC</v>
      </c>
      <c r="AD145" s="40"/>
      <c r="AE145" s="41"/>
      <c r="AF145" s="42" t="s">
        <v>29</v>
      </c>
      <c r="AG145" s="43" t="str">
        <f>VLOOKUP(AD143,'結果入力表'!$B$2:$J$212,9,FALSE)</f>
        <v>WRC</v>
      </c>
      <c r="AH145" s="40"/>
      <c r="AI145" s="44"/>
      <c r="AL145" s="39" t="str">
        <f>VLOOKUP(AM143,'結果入力表'!$B$2:$J$212,2,FALSE)</f>
        <v>ORC</v>
      </c>
      <c r="AM145" s="40"/>
      <c r="AN145" s="41"/>
      <c r="AO145" s="42" t="s">
        <v>29</v>
      </c>
      <c r="AP145" s="43" t="str">
        <f>VLOOKUP(AM143,'結果入力表'!$B$2:$J$212,9,FALSE)</f>
        <v>WRC</v>
      </c>
      <c r="AQ145" s="40"/>
      <c r="AR145" s="44"/>
      <c r="AU145" s="39" t="str">
        <f>VLOOKUP(AV143,'結果入力表'!$B$2:$J$212,2,FALSE)</f>
        <v>ORC</v>
      </c>
      <c r="AV145" s="40"/>
      <c r="AW145" s="41"/>
      <c r="AX145" s="42" t="s">
        <v>29</v>
      </c>
      <c r="AY145" s="43" t="str">
        <f>VLOOKUP(AV143,'結果入力表'!$B$2:$J$212,9,FALSE)</f>
        <v>WRC</v>
      </c>
      <c r="AZ145" s="40"/>
      <c r="BA145" s="44"/>
      <c r="BD145" s="39" t="str">
        <f>VLOOKUP(BE143,'結果入力表'!$B$2:$J$212,2,FALSE)</f>
        <v>ORC</v>
      </c>
      <c r="BE145" s="40"/>
      <c r="BF145" s="41"/>
      <c r="BG145" s="42" t="s">
        <v>29</v>
      </c>
      <c r="BH145" s="43" t="str">
        <f>VLOOKUP(BE143,'結果入力表'!$B$2:$J$212,9,FALSE)</f>
        <v>WRC</v>
      </c>
      <c r="BI145" s="40"/>
      <c r="BJ145" s="44"/>
    </row>
    <row r="146" spans="2:62" ht="46.5" customHeight="1">
      <c r="B146" s="438" t="str">
        <f>VLOOKUP(C143,'結果入力表'!$B$2:$J$212,3,FALSE)</f>
        <v>村上 泰辰</v>
      </c>
      <c r="C146" s="19"/>
      <c r="D146" s="20"/>
      <c r="E146" s="46" t="s">
        <v>30</v>
      </c>
      <c r="F146" s="437" t="str">
        <f>VLOOKUP(C143,'結果入力表'!$B$2:$J$212,8,FALSE)</f>
        <v>末岡　修</v>
      </c>
      <c r="G146" s="19"/>
      <c r="H146" s="48"/>
      <c r="K146" s="438" t="str">
        <f>VLOOKUP(L143,'結果入力表'!$B$2:$J$212,3,FALSE)</f>
        <v>乾　伸綱</v>
      </c>
      <c r="L146" s="19"/>
      <c r="M146" s="20"/>
      <c r="N146" s="46" t="s">
        <v>30</v>
      </c>
      <c r="O146" s="437" t="str">
        <f>VLOOKUP(L143,'結果入力表'!$B$2:$J$212,8,FALSE)</f>
        <v>杉本 博章</v>
      </c>
      <c r="P146" s="19"/>
      <c r="Q146" s="48"/>
      <c r="T146" s="438" t="str">
        <f>VLOOKUP(U143,'結果入力表'!$B$2:$J$212,3,FALSE)</f>
        <v>吉岡 保俊</v>
      </c>
      <c r="U146" s="19"/>
      <c r="V146" s="20"/>
      <c r="W146" s="46" t="s">
        <v>30</v>
      </c>
      <c r="X146" s="437" t="str">
        <f>VLOOKUP(U143,'結果入力表'!$B$2:$J$212,8,FALSE)</f>
        <v>丹次 力良</v>
      </c>
      <c r="Y146" s="19"/>
      <c r="Z146" s="48"/>
      <c r="AC146" s="438" t="str">
        <f>VLOOKUP(AD143,'結果入力表'!$B$2:$J$212,3,FALSE)</f>
        <v>山田 玄英</v>
      </c>
      <c r="AD146" s="19"/>
      <c r="AE146" s="20"/>
      <c r="AF146" s="46" t="s">
        <v>30</v>
      </c>
      <c r="AG146" s="437" t="str">
        <f>VLOOKUP(AD143,'結果入力表'!$B$2:$J$212,8,FALSE)</f>
        <v>芝先 泰生</v>
      </c>
      <c r="AH146" s="19"/>
      <c r="AI146" s="48"/>
      <c r="AL146" s="438" t="str">
        <f>VLOOKUP(AM143,'結果入力表'!$B$2:$J$212,3,FALSE)</f>
        <v>由本　拓</v>
      </c>
      <c r="AM146" s="19"/>
      <c r="AN146" s="20"/>
      <c r="AO146" s="46" t="s">
        <v>30</v>
      </c>
      <c r="AP146" s="437" t="str">
        <f>VLOOKUP(AM143,'結果入力表'!$B$2:$J$212,8,FALSE)</f>
        <v>岸上 賢一</v>
      </c>
      <c r="AQ146" s="19"/>
      <c r="AR146" s="48"/>
      <c r="AU146" s="438" t="str">
        <f>VLOOKUP(AV143,'結果入力表'!$B$2:$J$212,3,FALSE)</f>
        <v>田中 隆介</v>
      </c>
      <c r="AV146" s="19"/>
      <c r="AW146" s="20"/>
      <c r="AX146" s="46" t="s">
        <v>30</v>
      </c>
      <c r="AY146" s="437" t="str">
        <f>VLOOKUP(AV143,'結果入力表'!$B$2:$J$212,8,FALSE)</f>
        <v>中本 雅大</v>
      </c>
      <c r="AZ146" s="19"/>
      <c r="BA146" s="48"/>
      <c r="BD146" s="438" t="str">
        <f>VLOOKUP(BE143,'結果入力表'!$B$2:$J$212,3,FALSE)</f>
        <v>西田 恵子</v>
      </c>
      <c r="BE146" s="19"/>
      <c r="BF146" s="20"/>
      <c r="BG146" s="46" t="s">
        <v>30</v>
      </c>
      <c r="BH146" s="437" t="str">
        <f>VLOOKUP(BE143,'結果入力表'!$B$2:$J$212,8,FALSE)</f>
        <v>松房ゆかり</v>
      </c>
      <c r="BI146" s="19"/>
      <c r="BJ146" s="48"/>
    </row>
    <row r="147" spans="2:62" ht="37.5" customHeight="1">
      <c r="B147" s="49"/>
      <c r="C147" s="19"/>
      <c r="D147" s="20"/>
      <c r="E147" s="46" t="s">
        <v>31</v>
      </c>
      <c r="F147" s="50"/>
      <c r="G147" s="19"/>
      <c r="H147" s="48"/>
      <c r="K147" s="49"/>
      <c r="L147" s="19"/>
      <c r="M147" s="20"/>
      <c r="N147" s="46" t="s">
        <v>31</v>
      </c>
      <c r="O147" s="50"/>
      <c r="P147" s="19"/>
      <c r="Q147" s="48"/>
      <c r="T147" s="49"/>
      <c r="U147" s="19"/>
      <c r="V147" s="20"/>
      <c r="W147" s="46" t="s">
        <v>31</v>
      </c>
      <c r="X147" s="50"/>
      <c r="Y147" s="19"/>
      <c r="Z147" s="48"/>
      <c r="AC147" s="49"/>
      <c r="AD147" s="19"/>
      <c r="AE147" s="20"/>
      <c r="AF147" s="46" t="s">
        <v>31</v>
      </c>
      <c r="AG147" s="50"/>
      <c r="AH147" s="19"/>
      <c r="AI147" s="48"/>
      <c r="AL147" s="49"/>
      <c r="AM147" s="19"/>
      <c r="AN147" s="20"/>
      <c r="AO147" s="46" t="s">
        <v>31</v>
      </c>
      <c r="AP147" s="50"/>
      <c r="AQ147" s="19"/>
      <c r="AR147" s="48"/>
      <c r="AU147" s="49"/>
      <c r="AV147" s="19"/>
      <c r="AW147" s="20"/>
      <c r="AX147" s="46" t="s">
        <v>31</v>
      </c>
      <c r="AY147" s="50"/>
      <c r="AZ147" s="19"/>
      <c r="BA147" s="48"/>
      <c r="BD147" s="49"/>
      <c r="BE147" s="19"/>
      <c r="BF147" s="20"/>
      <c r="BG147" s="46" t="s">
        <v>31</v>
      </c>
      <c r="BH147" s="50"/>
      <c r="BI147" s="19"/>
      <c r="BJ147" s="48"/>
    </row>
    <row r="148" spans="2:62" ht="37.5" customHeight="1" thickBot="1">
      <c r="B148" s="51"/>
      <c r="C148" s="52"/>
      <c r="D148" s="53"/>
      <c r="E148" s="54" t="s">
        <v>32</v>
      </c>
      <c r="F148" s="55"/>
      <c r="G148" s="52"/>
      <c r="H148" s="56"/>
      <c r="K148" s="51"/>
      <c r="L148" s="52"/>
      <c r="M148" s="53"/>
      <c r="N148" s="54" t="s">
        <v>32</v>
      </c>
      <c r="O148" s="55"/>
      <c r="P148" s="52"/>
      <c r="Q148" s="56"/>
      <c r="T148" s="51"/>
      <c r="U148" s="52"/>
      <c r="V148" s="53"/>
      <c r="W148" s="54" t="s">
        <v>32</v>
      </c>
      <c r="X148" s="55"/>
      <c r="Y148" s="52"/>
      <c r="Z148" s="56"/>
      <c r="AC148" s="51"/>
      <c r="AD148" s="52"/>
      <c r="AE148" s="53"/>
      <c r="AF148" s="54" t="s">
        <v>32</v>
      </c>
      <c r="AG148" s="55"/>
      <c r="AH148" s="52"/>
      <c r="AI148" s="56"/>
      <c r="AL148" s="51"/>
      <c r="AM148" s="52"/>
      <c r="AN148" s="53"/>
      <c r="AO148" s="54" t="s">
        <v>32</v>
      </c>
      <c r="AP148" s="55"/>
      <c r="AQ148" s="52"/>
      <c r="AR148" s="56"/>
      <c r="AU148" s="51"/>
      <c r="AV148" s="52"/>
      <c r="AW148" s="53"/>
      <c r="AX148" s="54" t="s">
        <v>32</v>
      </c>
      <c r="AY148" s="55"/>
      <c r="AZ148" s="52"/>
      <c r="BA148" s="56"/>
      <c r="BD148" s="51"/>
      <c r="BE148" s="52"/>
      <c r="BF148" s="53"/>
      <c r="BG148" s="54" t="s">
        <v>32</v>
      </c>
      <c r="BH148" s="55"/>
      <c r="BI148" s="52"/>
      <c r="BJ148" s="56"/>
    </row>
    <row r="150" spans="4:62" ht="15" customHeight="1">
      <c r="D150" s="22"/>
      <c r="E150" s="22"/>
      <c r="F150" s="21" t="s">
        <v>37</v>
      </c>
      <c r="G150" s="30"/>
      <c r="H150" s="30"/>
      <c r="M150" s="22"/>
      <c r="N150" s="22"/>
      <c r="O150" s="21" t="s">
        <v>37</v>
      </c>
      <c r="P150" s="30"/>
      <c r="Q150" s="30"/>
      <c r="V150" s="22"/>
      <c r="W150" s="22"/>
      <c r="X150" s="21" t="s">
        <v>37</v>
      </c>
      <c r="Y150" s="30"/>
      <c r="Z150" s="30"/>
      <c r="AE150" s="22"/>
      <c r="AF150" s="22"/>
      <c r="AG150" s="21" t="s">
        <v>37</v>
      </c>
      <c r="AH150" s="30"/>
      <c r="AI150" s="30"/>
      <c r="AN150" s="22"/>
      <c r="AO150" s="22"/>
      <c r="AP150" s="21" t="s">
        <v>37</v>
      </c>
      <c r="AQ150" s="30"/>
      <c r="AR150" s="30"/>
      <c r="AW150" s="22"/>
      <c r="AX150" s="22"/>
      <c r="AY150" s="21" t="s">
        <v>37</v>
      </c>
      <c r="AZ150" s="30"/>
      <c r="BA150" s="30"/>
      <c r="BF150" s="22"/>
      <c r="BG150" s="22"/>
      <c r="BH150" s="21" t="s">
        <v>37</v>
      </c>
      <c r="BI150" s="30"/>
      <c r="BJ150" s="30"/>
    </row>
    <row r="151" spans="2:64" ht="15" customHeight="1">
      <c r="B151" s="23" t="str">
        <f>'★個人成績表★'!$A$1</f>
        <v>第28回　京阪神和奈滋対抗戦　　　(大阪；玉出エース)</v>
      </c>
      <c r="C151" s="36"/>
      <c r="D151" s="36"/>
      <c r="E151" s="36"/>
      <c r="F151" s="36"/>
      <c r="G151" s="36"/>
      <c r="H151" s="37"/>
      <c r="K151" s="23" t="str">
        <f>'★個人成績表★'!$A$1</f>
        <v>第28回　京阪神和奈滋対抗戦　　　(大阪；玉出エース)</v>
      </c>
      <c r="L151" s="36"/>
      <c r="M151" s="36"/>
      <c r="N151" s="36"/>
      <c r="O151" s="36"/>
      <c r="P151" s="36"/>
      <c r="Q151" s="37"/>
      <c r="T151" s="23" t="str">
        <f>'★個人成績表★'!$A$1</f>
        <v>第28回　京阪神和奈滋対抗戦　　　(大阪；玉出エース)</v>
      </c>
      <c r="U151" s="36"/>
      <c r="V151" s="36"/>
      <c r="W151" s="36"/>
      <c r="X151" s="36"/>
      <c r="Y151" s="36"/>
      <c r="Z151" s="37"/>
      <c r="AC151" s="23" t="str">
        <f>'★個人成績表★'!$A$1</f>
        <v>第28回　京阪神和奈滋対抗戦　　　(大阪；玉出エース)</v>
      </c>
      <c r="AD151" s="36"/>
      <c r="AE151" s="36"/>
      <c r="AF151" s="36"/>
      <c r="AG151" s="36"/>
      <c r="AH151" s="36"/>
      <c r="AI151" s="37"/>
      <c r="AL151" s="23" t="str">
        <f>'★個人成績表★'!$A$1</f>
        <v>第28回　京阪神和奈滋対抗戦　　　(大阪；玉出エース)</v>
      </c>
      <c r="AM151" s="36"/>
      <c r="AN151" s="36"/>
      <c r="AO151" s="36"/>
      <c r="AP151" s="36"/>
      <c r="AQ151" s="36"/>
      <c r="AR151" s="37"/>
      <c r="AU151" s="23" t="str">
        <f>'★個人成績表★'!$A$1</f>
        <v>第28回　京阪神和奈滋対抗戦　　　(大阪；玉出エース)</v>
      </c>
      <c r="AV151" s="36"/>
      <c r="AW151" s="36"/>
      <c r="AX151" s="36"/>
      <c r="AY151" s="36"/>
      <c r="AZ151" s="36"/>
      <c r="BA151" s="37"/>
      <c r="BD151" s="23" t="str">
        <f>'★個人成績表★'!$A$1</f>
        <v>第28回　京阪神和奈滋対抗戦　　　(大阪；玉出エース)</v>
      </c>
      <c r="BE151" s="36"/>
      <c r="BF151" s="36"/>
      <c r="BG151" s="36"/>
      <c r="BH151" s="36"/>
      <c r="BI151" s="36"/>
      <c r="BJ151" s="37"/>
      <c r="BL151" t="s">
        <v>33</v>
      </c>
    </row>
    <row r="153" spans="2:61" s="38" customFormat="1" ht="15" customHeight="1">
      <c r="B153" s="22" t="s">
        <v>35</v>
      </c>
      <c r="C153" s="30">
        <f>BE143+1</f>
        <v>99</v>
      </c>
      <c r="F153" s="22" t="s">
        <v>36</v>
      </c>
      <c r="G153" s="30"/>
      <c r="K153" s="22" t="s">
        <v>35</v>
      </c>
      <c r="L153" s="30">
        <f>C153+1</f>
        <v>100</v>
      </c>
      <c r="O153" s="22" t="s">
        <v>36</v>
      </c>
      <c r="P153" s="30"/>
      <c r="T153" s="22" t="s">
        <v>35</v>
      </c>
      <c r="U153" s="30">
        <f>L153+1</f>
        <v>101</v>
      </c>
      <c r="X153" s="22" t="s">
        <v>36</v>
      </c>
      <c r="Y153" s="30"/>
      <c r="AC153" s="22" t="s">
        <v>35</v>
      </c>
      <c r="AD153" s="30">
        <f>U153+1</f>
        <v>102</v>
      </c>
      <c r="AG153" s="22" t="s">
        <v>36</v>
      </c>
      <c r="AH153" s="30"/>
      <c r="AL153" s="22" t="s">
        <v>35</v>
      </c>
      <c r="AM153" s="30">
        <f>AD153+1</f>
        <v>103</v>
      </c>
      <c r="AP153" s="22" t="s">
        <v>36</v>
      </c>
      <c r="AQ153" s="30"/>
      <c r="AU153" s="22" t="s">
        <v>35</v>
      </c>
      <c r="AV153" s="30">
        <f>AM153+1</f>
        <v>104</v>
      </c>
      <c r="AY153" s="22" t="s">
        <v>36</v>
      </c>
      <c r="AZ153" s="30"/>
      <c r="BD153" s="22" t="s">
        <v>35</v>
      </c>
      <c r="BE153" s="30">
        <f>AV153+1</f>
        <v>105</v>
      </c>
      <c r="BH153" s="22" t="s">
        <v>36</v>
      </c>
      <c r="BI153" s="30"/>
    </row>
    <row r="154" ht="15" customHeight="1" thickBot="1"/>
    <row r="155" spans="2:62" ht="31.5" customHeight="1">
      <c r="B155" s="39" t="str">
        <f>VLOOKUP(C153,'結果入力表'!$B$2:$J$212,2,FALSE)</f>
        <v>KRC</v>
      </c>
      <c r="C155" s="40"/>
      <c r="D155" s="41"/>
      <c r="E155" s="42" t="s">
        <v>29</v>
      </c>
      <c r="F155" s="43" t="str">
        <f>VLOOKUP(C153,'結果入力表'!$B$2:$J$212,9,FALSE)</f>
        <v>HRC</v>
      </c>
      <c r="G155" s="40"/>
      <c r="H155" s="44"/>
      <c r="K155" s="39" t="str">
        <f>VLOOKUP(L153,'結果入力表'!$B$2:$J$212,2,FALSE)</f>
        <v>KRC</v>
      </c>
      <c r="L155" s="40"/>
      <c r="M155" s="41"/>
      <c r="N155" s="42" t="s">
        <v>29</v>
      </c>
      <c r="O155" s="43" t="str">
        <f>VLOOKUP(L153,'結果入力表'!$B$2:$J$212,9,FALSE)</f>
        <v>HRC</v>
      </c>
      <c r="P155" s="40"/>
      <c r="Q155" s="44"/>
      <c r="T155" s="39" t="str">
        <f>VLOOKUP(U153,'結果入力表'!$B$2:$J$212,2,FALSE)</f>
        <v>KRC</v>
      </c>
      <c r="U155" s="40"/>
      <c r="V155" s="41"/>
      <c r="W155" s="42" t="s">
        <v>29</v>
      </c>
      <c r="X155" s="43" t="str">
        <f>VLOOKUP(U153,'結果入力表'!$B$2:$J$212,9,FALSE)</f>
        <v>HRC</v>
      </c>
      <c r="Y155" s="40"/>
      <c r="Z155" s="44"/>
      <c r="AC155" s="39" t="str">
        <f>VLOOKUP(AD153,'結果入力表'!$B$2:$J$212,2,FALSE)</f>
        <v>KRC</v>
      </c>
      <c r="AD155" s="40"/>
      <c r="AE155" s="41"/>
      <c r="AF155" s="42" t="s">
        <v>29</v>
      </c>
      <c r="AG155" s="43" t="str">
        <f>VLOOKUP(AD153,'結果入力表'!$B$2:$J$212,9,FALSE)</f>
        <v>HRC</v>
      </c>
      <c r="AH155" s="40"/>
      <c r="AI155" s="44"/>
      <c r="AL155" s="39" t="str">
        <f>VLOOKUP(AM153,'結果入力表'!$B$2:$J$212,2,FALSE)</f>
        <v>KRC</v>
      </c>
      <c r="AM155" s="40"/>
      <c r="AN155" s="41"/>
      <c r="AO155" s="42" t="s">
        <v>29</v>
      </c>
      <c r="AP155" s="43" t="str">
        <f>VLOOKUP(AM153,'結果入力表'!$B$2:$J$212,9,FALSE)</f>
        <v>HRC</v>
      </c>
      <c r="AQ155" s="40"/>
      <c r="AR155" s="44"/>
      <c r="AU155" s="39" t="str">
        <f>VLOOKUP(AV153,'結果入力表'!$B$2:$J$212,2,FALSE)</f>
        <v>KRC</v>
      </c>
      <c r="AV155" s="40"/>
      <c r="AW155" s="41"/>
      <c r="AX155" s="42" t="s">
        <v>29</v>
      </c>
      <c r="AY155" s="43" t="str">
        <f>VLOOKUP(AV153,'結果入力表'!$B$2:$J$212,9,FALSE)</f>
        <v>HRC</v>
      </c>
      <c r="AZ155" s="40"/>
      <c r="BA155" s="44"/>
      <c r="BD155" s="39" t="str">
        <f>VLOOKUP(BE153,'結果入力表'!$B$2:$J$212,2,FALSE)</f>
        <v>KRC</v>
      </c>
      <c r="BE155" s="40"/>
      <c r="BF155" s="41"/>
      <c r="BG155" s="42" t="s">
        <v>29</v>
      </c>
      <c r="BH155" s="43" t="str">
        <f>VLOOKUP(BE153,'結果入力表'!$B$2:$J$212,9,FALSE)</f>
        <v>HRC</v>
      </c>
      <c r="BI155" s="40"/>
      <c r="BJ155" s="44"/>
    </row>
    <row r="156" spans="2:62" ht="46.5" customHeight="1">
      <c r="B156" s="438" t="str">
        <f>VLOOKUP(C153,'結果入力表'!$B$2:$J$212,3,FALSE)</f>
        <v>折戸 和幸</v>
      </c>
      <c r="C156" s="19"/>
      <c r="D156" s="20"/>
      <c r="E156" s="46" t="s">
        <v>30</v>
      </c>
      <c r="F156" s="437" t="str">
        <f>VLOOKUP(C153,'結果入力表'!$B$2:$J$212,8,FALSE)</f>
        <v>堂園 雅也</v>
      </c>
      <c r="G156" s="19"/>
      <c r="H156" s="48"/>
      <c r="K156" s="438" t="str">
        <f>VLOOKUP(L153,'結果入力表'!$B$2:$J$212,3,FALSE)</f>
        <v>今村 哲也</v>
      </c>
      <c r="L156" s="19"/>
      <c r="M156" s="20"/>
      <c r="N156" s="46" t="s">
        <v>30</v>
      </c>
      <c r="O156" s="437" t="str">
        <f>VLOOKUP(L153,'結果入力表'!$B$2:$J$212,8,FALSE)</f>
        <v>長井　充</v>
      </c>
      <c r="P156" s="19"/>
      <c r="Q156" s="48"/>
      <c r="T156" s="438" t="str">
        <f>VLOOKUP(U153,'結果入力表'!$B$2:$J$212,3,FALSE)</f>
        <v>小山 久博</v>
      </c>
      <c r="U156" s="19"/>
      <c r="V156" s="20"/>
      <c r="W156" s="46" t="s">
        <v>30</v>
      </c>
      <c r="X156" s="437" t="str">
        <f>VLOOKUP(U153,'結果入力表'!$B$2:$J$212,8,FALSE)</f>
        <v>藤中健太郎</v>
      </c>
      <c r="Y156" s="19"/>
      <c r="Z156" s="48"/>
      <c r="AC156" s="438" t="str">
        <f>VLOOKUP(AD153,'結果入力表'!$B$2:$J$212,3,FALSE)</f>
        <v>伊庭 保久</v>
      </c>
      <c r="AD156" s="19"/>
      <c r="AE156" s="20"/>
      <c r="AF156" s="46" t="s">
        <v>30</v>
      </c>
      <c r="AG156" s="437" t="str">
        <f>VLOOKUP(AD153,'結果入力表'!$B$2:$J$212,8,FALSE)</f>
        <v>後藤 勇治</v>
      </c>
      <c r="AH156" s="19"/>
      <c r="AI156" s="48"/>
      <c r="AL156" s="438" t="str">
        <f>VLOOKUP(AM153,'結果入力表'!$B$2:$J$212,3,FALSE)</f>
        <v>菊池 靖正</v>
      </c>
      <c r="AM156" s="19"/>
      <c r="AN156" s="20"/>
      <c r="AO156" s="46" t="s">
        <v>30</v>
      </c>
      <c r="AP156" s="437" t="str">
        <f>VLOOKUP(AM153,'結果入力表'!$B$2:$J$212,8,FALSE)</f>
        <v>丹羽 俊也</v>
      </c>
      <c r="AQ156" s="19"/>
      <c r="AR156" s="48"/>
      <c r="AU156" s="438" t="str">
        <f>VLOOKUP(AV153,'結果入力表'!$B$2:$J$212,3,FALSE)</f>
        <v>田附 裕次</v>
      </c>
      <c r="AV156" s="19"/>
      <c r="AW156" s="20"/>
      <c r="AX156" s="46" t="s">
        <v>30</v>
      </c>
      <c r="AY156" s="437" t="str">
        <f>VLOOKUP(AV153,'結果入力表'!$B$2:$J$212,8,FALSE)</f>
        <v>平井 洸志</v>
      </c>
      <c r="AZ156" s="19"/>
      <c r="BA156" s="48"/>
      <c r="BD156" s="438" t="str">
        <f>VLOOKUP(BE153,'結果入力表'!$B$2:$J$212,3,FALSE)</f>
        <v>森田由佳里</v>
      </c>
      <c r="BE156" s="19"/>
      <c r="BF156" s="20"/>
      <c r="BG156" s="46" t="s">
        <v>30</v>
      </c>
      <c r="BH156" s="437" t="str">
        <f>VLOOKUP(BE153,'結果入力表'!$B$2:$J$212,8,FALSE)</f>
        <v>栃下 恭子</v>
      </c>
      <c r="BI156" s="19"/>
      <c r="BJ156" s="48"/>
    </row>
    <row r="157" spans="2:62" ht="37.5" customHeight="1">
      <c r="B157" s="49"/>
      <c r="C157" s="19"/>
      <c r="D157" s="20"/>
      <c r="E157" s="46" t="s">
        <v>31</v>
      </c>
      <c r="F157" s="50"/>
      <c r="G157" s="19"/>
      <c r="H157" s="48"/>
      <c r="K157" s="49"/>
      <c r="L157" s="19"/>
      <c r="M157" s="20"/>
      <c r="N157" s="46" t="s">
        <v>31</v>
      </c>
      <c r="O157" s="50"/>
      <c r="P157" s="19"/>
      <c r="Q157" s="48"/>
      <c r="T157" s="49"/>
      <c r="U157" s="19"/>
      <c r="V157" s="20"/>
      <c r="W157" s="46" t="s">
        <v>31</v>
      </c>
      <c r="X157" s="50"/>
      <c r="Y157" s="19"/>
      <c r="Z157" s="48"/>
      <c r="AC157" s="49"/>
      <c r="AD157" s="19"/>
      <c r="AE157" s="20"/>
      <c r="AF157" s="46" t="s">
        <v>31</v>
      </c>
      <c r="AG157" s="50"/>
      <c r="AH157" s="19"/>
      <c r="AI157" s="48"/>
      <c r="AL157" s="49"/>
      <c r="AM157" s="19"/>
      <c r="AN157" s="20"/>
      <c r="AO157" s="46" t="s">
        <v>31</v>
      </c>
      <c r="AP157" s="50"/>
      <c r="AQ157" s="19"/>
      <c r="AR157" s="48"/>
      <c r="AU157" s="49"/>
      <c r="AV157" s="19"/>
      <c r="AW157" s="20"/>
      <c r="AX157" s="46" t="s">
        <v>31</v>
      </c>
      <c r="AY157" s="50"/>
      <c r="AZ157" s="19"/>
      <c r="BA157" s="48"/>
      <c r="BD157" s="49"/>
      <c r="BE157" s="19"/>
      <c r="BF157" s="20"/>
      <c r="BG157" s="46" t="s">
        <v>31</v>
      </c>
      <c r="BH157" s="50"/>
      <c r="BI157" s="19"/>
      <c r="BJ157" s="48"/>
    </row>
    <row r="158" spans="2:62" ht="37.5" customHeight="1" thickBot="1">
      <c r="B158" s="51"/>
      <c r="C158" s="52"/>
      <c r="D158" s="53"/>
      <c r="E158" s="54" t="s">
        <v>32</v>
      </c>
      <c r="F158" s="55"/>
      <c r="G158" s="52"/>
      <c r="H158" s="56"/>
      <c r="K158" s="51"/>
      <c r="L158" s="52"/>
      <c r="M158" s="53"/>
      <c r="N158" s="54" t="s">
        <v>32</v>
      </c>
      <c r="O158" s="55"/>
      <c r="P158" s="52"/>
      <c r="Q158" s="56"/>
      <c r="T158" s="51"/>
      <c r="U158" s="52"/>
      <c r="V158" s="53"/>
      <c r="W158" s="54" t="s">
        <v>32</v>
      </c>
      <c r="X158" s="55"/>
      <c r="Y158" s="52"/>
      <c r="Z158" s="56"/>
      <c r="AC158" s="51"/>
      <c r="AD158" s="52"/>
      <c r="AE158" s="53"/>
      <c r="AF158" s="54" t="s">
        <v>32</v>
      </c>
      <c r="AG158" s="55"/>
      <c r="AH158" s="52"/>
      <c r="AI158" s="56"/>
      <c r="AL158" s="51"/>
      <c r="AM158" s="52"/>
      <c r="AN158" s="53"/>
      <c r="AO158" s="54" t="s">
        <v>32</v>
      </c>
      <c r="AP158" s="55"/>
      <c r="AQ158" s="52"/>
      <c r="AR158" s="56"/>
      <c r="AU158" s="51"/>
      <c r="AV158" s="52"/>
      <c r="AW158" s="53"/>
      <c r="AX158" s="54" t="s">
        <v>32</v>
      </c>
      <c r="AY158" s="55"/>
      <c r="AZ158" s="52"/>
      <c r="BA158" s="56"/>
      <c r="BD158" s="51"/>
      <c r="BE158" s="52"/>
      <c r="BF158" s="53"/>
      <c r="BG158" s="54" t="s">
        <v>32</v>
      </c>
      <c r="BH158" s="55"/>
      <c r="BI158" s="52"/>
      <c r="BJ158" s="56"/>
    </row>
    <row r="160" spans="4:62" ht="15" customHeight="1">
      <c r="D160" s="22"/>
      <c r="E160" s="22"/>
      <c r="F160" s="21" t="s">
        <v>37</v>
      </c>
      <c r="G160" s="30"/>
      <c r="H160" s="30"/>
      <c r="M160" s="22"/>
      <c r="N160" s="22"/>
      <c r="O160" s="21" t="s">
        <v>37</v>
      </c>
      <c r="P160" s="30"/>
      <c r="Q160" s="30"/>
      <c r="V160" s="22"/>
      <c r="W160" s="22"/>
      <c r="X160" s="21" t="s">
        <v>37</v>
      </c>
      <c r="Y160" s="30"/>
      <c r="Z160" s="30"/>
      <c r="AE160" s="22"/>
      <c r="AF160" s="22"/>
      <c r="AG160" s="21" t="s">
        <v>37</v>
      </c>
      <c r="AH160" s="30"/>
      <c r="AI160" s="30"/>
      <c r="AN160" s="22"/>
      <c r="AO160" s="22"/>
      <c r="AP160" s="21" t="s">
        <v>37</v>
      </c>
      <c r="AQ160" s="30"/>
      <c r="AR160" s="30"/>
      <c r="AW160" s="22"/>
      <c r="AX160" s="22"/>
      <c r="AY160" s="21" t="s">
        <v>37</v>
      </c>
      <c r="AZ160" s="30"/>
      <c r="BA160" s="30"/>
      <c r="BF160" s="22"/>
      <c r="BG160" s="22"/>
      <c r="BH160" s="21" t="s">
        <v>37</v>
      </c>
      <c r="BI160" s="30"/>
      <c r="BJ160" s="30"/>
    </row>
    <row r="161" spans="2:64" ht="15" customHeight="1">
      <c r="B161" s="23" t="str">
        <f>'★個人成績表★'!$A$1</f>
        <v>第28回　京阪神和奈滋対抗戦　　　(大阪；玉出エース)</v>
      </c>
      <c r="C161" s="36"/>
      <c r="D161" s="36"/>
      <c r="E161" s="36"/>
      <c r="F161" s="36"/>
      <c r="G161" s="36"/>
      <c r="H161" s="37"/>
      <c r="K161" s="23" t="str">
        <f>'★個人成績表★'!$A$1</f>
        <v>第28回　京阪神和奈滋対抗戦　　　(大阪；玉出エース)</v>
      </c>
      <c r="L161" s="36"/>
      <c r="M161" s="36"/>
      <c r="N161" s="36"/>
      <c r="O161" s="36"/>
      <c r="P161" s="36"/>
      <c r="Q161" s="37"/>
      <c r="T161" s="23" t="str">
        <f>'★個人成績表★'!$A$1</f>
        <v>第28回　京阪神和奈滋対抗戦　　　(大阪；玉出エース)</v>
      </c>
      <c r="U161" s="36"/>
      <c r="V161" s="36"/>
      <c r="W161" s="36"/>
      <c r="X161" s="36"/>
      <c r="Y161" s="36"/>
      <c r="Z161" s="37"/>
      <c r="AC161" s="23" t="str">
        <f>'★個人成績表★'!$A$1</f>
        <v>第28回　京阪神和奈滋対抗戦　　　(大阪；玉出エース)</v>
      </c>
      <c r="AD161" s="36"/>
      <c r="AE161" s="36"/>
      <c r="AF161" s="36"/>
      <c r="AG161" s="36"/>
      <c r="AH161" s="36"/>
      <c r="AI161" s="37"/>
      <c r="AL161" s="23" t="str">
        <f>'★個人成績表★'!$A$1</f>
        <v>第28回　京阪神和奈滋対抗戦　　　(大阪；玉出エース)</v>
      </c>
      <c r="AM161" s="36"/>
      <c r="AN161" s="36"/>
      <c r="AO161" s="36"/>
      <c r="AP161" s="36"/>
      <c r="AQ161" s="36"/>
      <c r="AR161" s="37"/>
      <c r="AU161" s="23" t="str">
        <f>'★個人成績表★'!$A$1</f>
        <v>第28回　京阪神和奈滋対抗戦　　　(大阪；玉出エース)</v>
      </c>
      <c r="AV161" s="36"/>
      <c r="AW161" s="36"/>
      <c r="AX161" s="36"/>
      <c r="AY161" s="36"/>
      <c r="AZ161" s="36"/>
      <c r="BA161" s="37"/>
      <c r="BD161" s="23" t="str">
        <f>'★個人成績表★'!$A$1</f>
        <v>第28回　京阪神和奈滋対抗戦　　　(大阪；玉出エース)</v>
      </c>
      <c r="BE161" s="36"/>
      <c r="BF161" s="36"/>
      <c r="BG161" s="36"/>
      <c r="BH161" s="36"/>
      <c r="BI161" s="36"/>
      <c r="BJ161" s="37"/>
      <c r="BL161" t="s">
        <v>33</v>
      </c>
    </row>
    <row r="163" spans="2:61" s="38" customFormat="1" ht="15" customHeight="1">
      <c r="B163" s="22" t="s">
        <v>35</v>
      </c>
      <c r="C163" s="30">
        <f>BE153+1</f>
        <v>106</v>
      </c>
      <c r="F163" s="22" t="s">
        <v>36</v>
      </c>
      <c r="G163" s="30"/>
      <c r="K163" s="22" t="s">
        <v>35</v>
      </c>
      <c r="L163" s="30">
        <f>C163+1</f>
        <v>107</v>
      </c>
      <c r="O163" s="22" t="s">
        <v>36</v>
      </c>
      <c r="P163" s="30"/>
      <c r="T163" s="22" t="s">
        <v>35</v>
      </c>
      <c r="U163" s="30">
        <f>L163+1</f>
        <v>108</v>
      </c>
      <c r="X163" s="22" t="s">
        <v>36</v>
      </c>
      <c r="Y163" s="30"/>
      <c r="AC163" s="22" t="s">
        <v>35</v>
      </c>
      <c r="AD163" s="30">
        <f>U163+1</f>
        <v>109</v>
      </c>
      <c r="AG163" s="22" t="s">
        <v>36</v>
      </c>
      <c r="AH163" s="30"/>
      <c r="AL163" s="22" t="s">
        <v>35</v>
      </c>
      <c r="AM163" s="30">
        <f>AD163+1</f>
        <v>110</v>
      </c>
      <c r="AP163" s="22" t="s">
        <v>36</v>
      </c>
      <c r="AQ163" s="30"/>
      <c r="AU163" s="22" t="s">
        <v>35</v>
      </c>
      <c r="AV163" s="30">
        <f>AM163+1</f>
        <v>111</v>
      </c>
      <c r="AY163" s="22" t="s">
        <v>36</v>
      </c>
      <c r="AZ163" s="30"/>
      <c r="BD163" s="22" t="s">
        <v>35</v>
      </c>
      <c r="BE163" s="30">
        <f>AV163+1</f>
        <v>112</v>
      </c>
      <c r="BH163" s="22" t="s">
        <v>36</v>
      </c>
      <c r="BI163" s="30"/>
    </row>
    <row r="164" ht="15" customHeight="1" thickBot="1"/>
    <row r="165" spans="2:62" ht="31.5" customHeight="1">
      <c r="B165" s="39" t="str">
        <f>VLOOKUP(C163,'結果入力表'!$B$2:$J$212,2,FALSE)</f>
        <v>ORC</v>
      </c>
      <c r="C165" s="40"/>
      <c r="D165" s="41"/>
      <c r="E165" s="42" t="s">
        <v>29</v>
      </c>
      <c r="F165" s="43" t="str">
        <f>VLOOKUP(C163,'結果入力表'!$B$2:$J$212,9,FALSE)</f>
        <v>NRC</v>
      </c>
      <c r="G165" s="40"/>
      <c r="H165" s="44"/>
      <c r="K165" s="39" t="str">
        <f>VLOOKUP(L163,'結果入力表'!$B$2:$J$212,2,FALSE)</f>
        <v>ORC</v>
      </c>
      <c r="L165" s="40"/>
      <c r="M165" s="41"/>
      <c r="N165" s="42" t="s">
        <v>29</v>
      </c>
      <c r="O165" s="43" t="str">
        <f>VLOOKUP(L163,'結果入力表'!$B$2:$J$212,9,FALSE)</f>
        <v>NRC</v>
      </c>
      <c r="P165" s="40"/>
      <c r="Q165" s="44"/>
      <c r="T165" s="39" t="str">
        <f>VLOOKUP(U163,'結果入力表'!$B$2:$J$212,2,FALSE)</f>
        <v>ORC</v>
      </c>
      <c r="U165" s="40"/>
      <c r="V165" s="41"/>
      <c r="W165" s="42" t="s">
        <v>29</v>
      </c>
      <c r="X165" s="43" t="str">
        <f>VLOOKUP(U163,'結果入力表'!$B$2:$J$212,9,FALSE)</f>
        <v>NRC</v>
      </c>
      <c r="Y165" s="40"/>
      <c r="Z165" s="44"/>
      <c r="AC165" s="39" t="str">
        <f>VLOOKUP(AD163,'結果入力表'!$B$2:$J$212,2,FALSE)</f>
        <v>ORC</v>
      </c>
      <c r="AD165" s="40"/>
      <c r="AE165" s="41"/>
      <c r="AF165" s="42" t="s">
        <v>29</v>
      </c>
      <c r="AG165" s="43" t="str">
        <f>VLOOKUP(AD163,'結果入力表'!$B$2:$J$212,9,FALSE)</f>
        <v>NRC</v>
      </c>
      <c r="AH165" s="40"/>
      <c r="AI165" s="44"/>
      <c r="AL165" s="39" t="str">
        <f>VLOOKUP(AM163,'結果入力表'!$B$2:$J$212,2,FALSE)</f>
        <v>ORC</v>
      </c>
      <c r="AM165" s="40"/>
      <c r="AN165" s="41"/>
      <c r="AO165" s="42" t="s">
        <v>29</v>
      </c>
      <c r="AP165" s="43" t="str">
        <f>VLOOKUP(AM163,'結果入力表'!$B$2:$J$212,9,FALSE)</f>
        <v>NRC</v>
      </c>
      <c r="AQ165" s="40"/>
      <c r="AR165" s="44"/>
      <c r="AU165" s="39" t="str">
        <f>VLOOKUP(AV163,'結果入力表'!$B$2:$J$212,2,FALSE)</f>
        <v>ORC</v>
      </c>
      <c r="AV165" s="40"/>
      <c r="AW165" s="41"/>
      <c r="AX165" s="42" t="s">
        <v>29</v>
      </c>
      <c r="AY165" s="43" t="str">
        <f>VLOOKUP(AV163,'結果入力表'!$B$2:$J$212,9,FALSE)</f>
        <v>NRC</v>
      </c>
      <c r="AZ165" s="40"/>
      <c r="BA165" s="44"/>
      <c r="BD165" s="39" t="str">
        <f>VLOOKUP(BE163,'結果入力表'!$B$2:$J$212,2,FALSE)</f>
        <v>ORC</v>
      </c>
      <c r="BE165" s="40"/>
      <c r="BF165" s="41"/>
      <c r="BG165" s="42" t="s">
        <v>29</v>
      </c>
      <c r="BH165" s="43" t="str">
        <f>VLOOKUP(BE163,'結果入力表'!$B$2:$J$212,9,FALSE)</f>
        <v>NRC</v>
      </c>
      <c r="BI165" s="40"/>
      <c r="BJ165" s="44"/>
    </row>
    <row r="166" spans="2:62" ht="46.5" customHeight="1">
      <c r="B166" s="438" t="str">
        <f>VLOOKUP(C163,'結果入力表'!$B$2:$J$212,3,FALSE)</f>
        <v>吉岡 保俊</v>
      </c>
      <c r="C166" s="19"/>
      <c r="D166" s="20"/>
      <c r="E166" s="46" t="s">
        <v>30</v>
      </c>
      <c r="F166" s="437" t="str">
        <f>VLOOKUP(C163,'結果入力表'!$B$2:$J$212,8,FALSE)</f>
        <v>山田 普之</v>
      </c>
      <c r="G166" s="19"/>
      <c r="H166" s="48"/>
      <c r="K166" s="438" t="str">
        <f>VLOOKUP(L163,'結果入力表'!$B$2:$J$212,3,FALSE)</f>
        <v>山田 玄英</v>
      </c>
      <c r="L166" s="19"/>
      <c r="M166" s="20"/>
      <c r="N166" s="46" t="s">
        <v>30</v>
      </c>
      <c r="O166" s="437" t="str">
        <f>VLOOKUP(L163,'結果入力表'!$B$2:$J$212,8,FALSE)</f>
        <v>山田 晃司</v>
      </c>
      <c r="P166" s="19"/>
      <c r="Q166" s="48"/>
      <c r="T166" s="438" t="str">
        <f>VLOOKUP(U163,'結果入力表'!$B$2:$J$212,3,FALSE)</f>
        <v>由本　拓</v>
      </c>
      <c r="U166" s="19"/>
      <c r="V166" s="20"/>
      <c r="W166" s="46" t="s">
        <v>30</v>
      </c>
      <c r="X166" s="437" t="str">
        <f>VLOOKUP(U163,'結果入力表'!$B$2:$J$212,8,FALSE)</f>
        <v>長谷川 進</v>
      </c>
      <c r="Y166" s="19"/>
      <c r="Z166" s="48"/>
      <c r="AC166" s="438" t="str">
        <f>VLOOKUP(AD163,'結果入力表'!$B$2:$J$212,3,FALSE)</f>
        <v>田中 隆介</v>
      </c>
      <c r="AD166" s="19"/>
      <c r="AE166" s="20"/>
      <c r="AF166" s="46" t="s">
        <v>30</v>
      </c>
      <c r="AG166" s="437" t="str">
        <f>VLOOKUP(AD163,'結果入力表'!$B$2:$J$212,8,FALSE)</f>
        <v>宮野 早織</v>
      </c>
      <c r="AH166" s="19"/>
      <c r="AI166" s="48"/>
      <c r="AL166" s="438" t="str">
        <f>VLOOKUP(AM163,'結果入力表'!$B$2:$J$212,3,FALSE)</f>
        <v>西田 恵子</v>
      </c>
      <c r="AM166" s="19"/>
      <c r="AN166" s="20"/>
      <c r="AO166" s="46" t="s">
        <v>30</v>
      </c>
      <c r="AP166" s="437" t="str">
        <f>VLOOKUP(AM163,'結果入力表'!$B$2:$J$212,8,FALSE)</f>
        <v>白戸 玲人</v>
      </c>
      <c r="AQ166" s="19"/>
      <c r="AR166" s="48"/>
      <c r="AU166" s="438" t="str">
        <f>VLOOKUP(AV163,'結果入力表'!$B$2:$J$212,3,FALSE)</f>
        <v>村上 泰辰</v>
      </c>
      <c r="AV166" s="19"/>
      <c r="AW166" s="20"/>
      <c r="AX166" s="46" t="s">
        <v>30</v>
      </c>
      <c r="AY166" s="437" t="str">
        <f>VLOOKUP(AV163,'結果入力表'!$B$2:$J$212,8,FALSE)</f>
        <v>近藤 拓馬</v>
      </c>
      <c r="AZ166" s="19"/>
      <c r="BA166" s="48"/>
      <c r="BD166" s="438" t="str">
        <f>VLOOKUP(BE163,'結果入力表'!$B$2:$J$212,3,FALSE)</f>
        <v>乾　伸綱</v>
      </c>
      <c r="BE166" s="19"/>
      <c r="BF166" s="20"/>
      <c r="BG166" s="46" t="s">
        <v>30</v>
      </c>
      <c r="BH166" s="437" t="str">
        <f>VLOOKUP(BE163,'結果入力表'!$B$2:$J$212,8,FALSE)</f>
        <v>吉向 翔平</v>
      </c>
      <c r="BI166" s="19"/>
      <c r="BJ166" s="48"/>
    </row>
    <row r="167" spans="2:62" ht="37.5" customHeight="1">
      <c r="B167" s="49"/>
      <c r="C167" s="19"/>
      <c r="D167" s="20"/>
      <c r="E167" s="46" t="s">
        <v>31</v>
      </c>
      <c r="F167" s="50"/>
      <c r="G167" s="19"/>
      <c r="H167" s="48"/>
      <c r="K167" s="49"/>
      <c r="L167" s="19"/>
      <c r="M167" s="20"/>
      <c r="N167" s="46" t="s">
        <v>31</v>
      </c>
      <c r="O167" s="50"/>
      <c r="P167" s="19"/>
      <c r="Q167" s="48"/>
      <c r="T167" s="49"/>
      <c r="U167" s="19"/>
      <c r="V167" s="20"/>
      <c r="W167" s="46" t="s">
        <v>31</v>
      </c>
      <c r="X167" s="50"/>
      <c r="Y167" s="19"/>
      <c r="Z167" s="48"/>
      <c r="AC167" s="49"/>
      <c r="AD167" s="19"/>
      <c r="AE167" s="20"/>
      <c r="AF167" s="46" t="s">
        <v>31</v>
      </c>
      <c r="AG167" s="50"/>
      <c r="AH167" s="19"/>
      <c r="AI167" s="48"/>
      <c r="AL167" s="49"/>
      <c r="AM167" s="19"/>
      <c r="AN167" s="20"/>
      <c r="AO167" s="46" t="s">
        <v>31</v>
      </c>
      <c r="AP167" s="50"/>
      <c r="AQ167" s="19"/>
      <c r="AR167" s="48"/>
      <c r="AU167" s="49"/>
      <c r="AV167" s="19"/>
      <c r="AW167" s="20"/>
      <c r="AX167" s="46" t="s">
        <v>31</v>
      </c>
      <c r="AY167" s="50"/>
      <c r="AZ167" s="19"/>
      <c r="BA167" s="48"/>
      <c r="BD167" s="49"/>
      <c r="BE167" s="19"/>
      <c r="BF167" s="20"/>
      <c r="BG167" s="46" t="s">
        <v>31</v>
      </c>
      <c r="BH167" s="50"/>
      <c r="BI167" s="19"/>
      <c r="BJ167" s="48"/>
    </row>
    <row r="168" spans="2:62" ht="37.5" customHeight="1" thickBot="1">
      <c r="B168" s="51"/>
      <c r="C168" s="52"/>
      <c r="D168" s="53"/>
      <c r="E168" s="54" t="s">
        <v>32</v>
      </c>
      <c r="F168" s="55"/>
      <c r="G168" s="52"/>
      <c r="H168" s="56"/>
      <c r="K168" s="51"/>
      <c r="L168" s="52"/>
      <c r="M168" s="53"/>
      <c r="N168" s="54" t="s">
        <v>32</v>
      </c>
      <c r="O168" s="55"/>
      <c r="P168" s="52"/>
      <c r="Q168" s="56"/>
      <c r="T168" s="51"/>
      <c r="U168" s="52"/>
      <c r="V168" s="53"/>
      <c r="W168" s="54" t="s">
        <v>32</v>
      </c>
      <c r="X168" s="55"/>
      <c r="Y168" s="52"/>
      <c r="Z168" s="56"/>
      <c r="AC168" s="51"/>
      <c r="AD168" s="52"/>
      <c r="AE168" s="53"/>
      <c r="AF168" s="54" t="s">
        <v>32</v>
      </c>
      <c r="AG168" s="55"/>
      <c r="AH168" s="52"/>
      <c r="AI168" s="56"/>
      <c r="AL168" s="51"/>
      <c r="AM168" s="52"/>
      <c r="AN168" s="53"/>
      <c r="AO168" s="54" t="s">
        <v>32</v>
      </c>
      <c r="AP168" s="55"/>
      <c r="AQ168" s="52"/>
      <c r="AR168" s="56"/>
      <c r="AU168" s="51"/>
      <c r="AV168" s="52"/>
      <c r="AW168" s="53"/>
      <c r="AX168" s="54" t="s">
        <v>32</v>
      </c>
      <c r="AY168" s="55"/>
      <c r="AZ168" s="52"/>
      <c r="BA168" s="56"/>
      <c r="BD168" s="51"/>
      <c r="BE168" s="52"/>
      <c r="BF168" s="53"/>
      <c r="BG168" s="54" t="s">
        <v>32</v>
      </c>
      <c r="BH168" s="55"/>
      <c r="BI168" s="52"/>
      <c r="BJ168" s="56"/>
    </row>
    <row r="170" spans="4:62" ht="15" customHeight="1">
      <c r="D170" s="22"/>
      <c r="E170" s="22"/>
      <c r="F170" s="21" t="s">
        <v>37</v>
      </c>
      <c r="G170" s="30"/>
      <c r="H170" s="30"/>
      <c r="M170" s="22"/>
      <c r="N170" s="22"/>
      <c r="O170" s="21" t="s">
        <v>37</v>
      </c>
      <c r="P170" s="30"/>
      <c r="Q170" s="30"/>
      <c r="V170" s="22"/>
      <c r="W170" s="22"/>
      <c r="X170" s="21" t="s">
        <v>37</v>
      </c>
      <c r="Y170" s="30"/>
      <c r="Z170" s="30"/>
      <c r="AE170" s="22"/>
      <c r="AF170" s="22"/>
      <c r="AG170" s="21" t="s">
        <v>37</v>
      </c>
      <c r="AH170" s="30"/>
      <c r="AI170" s="30"/>
      <c r="AN170" s="22"/>
      <c r="AO170" s="22"/>
      <c r="AP170" s="21" t="s">
        <v>37</v>
      </c>
      <c r="AQ170" s="30"/>
      <c r="AR170" s="30"/>
      <c r="AW170" s="22"/>
      <c r="AX170" s="22"/>
      <c r="AY170" s="21" t="s">
        <v>37</v>
      </c>
      <c r="AZ170" s="30"/>
      <c r="BA170" s="30"/>
      <c r="BF170" s="22"/>
      <c r="BG170" s="22"/>
      <c r="BH170" s="21" t="s">
        <v>37</v>
      </c>
      <c r="BI170" s="30"/>
      <c r="BJ170" s="30"/>
    </row>
    <row r="171" spans="2:64" ht="15" customHeight="1">
      <c r="B171" s="23" t="str">
        <f>'★個人成績表★'!$A$1</f>
        <v>第28回　京阪神和奈滋対抗戦　　　(大阪；玉出エース)</v>
      </c>
      <c r="C171" s="36"/>
      <c r="D171" s="36"/>
      <c r="E171" s="36"/>
      <c r="F171" s="36"/>
      <c r="G171" s="36"/>
      <c r="H171" s="37"/>
      <c r="K171" s="23" t="str">
        <f>'★個人成績表★'!$A$1</f>
        <v>第28回　京阪神和奈滋対抗戦　　　(大阪；玉出エース)</v>
      </c>
      <c r="L171" s="36"/>
      <c r="M171" s="36"/>
      <c r="N171" s="36"/>
      <c r="O171" s="36"/>
      <c r="P171" s="36"/>
      <c r="Q171" s="37"/>
      <c r="T171" s="23" t="str">
        <f>'★個人成績表★'!$A$1</f>
        <v>第28回　京阪神和奈滋対抗戦　　　(大阪；玉出エース)</v>
      </c>
      <c r="U171" s="36"/>
      <c r="V171" s="36"/>
      <c r="W171" s="36"/>
      <c r="X171" s="36"/>
      <c r="Y171" s="36"/>
      <c r="Z171" s="37"/>
      <c r="AC171" s="23" t="str">
        <f>'★個人成績表★'!$A$1</f>
        <v>第28回　京阪神和奈滋対抗戦　　　(大阪；玉出エース)</v>
      </c>
      <c r="AD171" s="36"/>
      <c r="AE171" s="36"/>
      <c r="AF171" s="36"/>
      <c r="AG171" s="36"/>
      <c r="AH171" s="36"/>
      <c r="AI171" s="37"/>
      <c r="AL171" s="23" t="str">
        <f>'★個人成績表★'!$A$1</f>
        <v>第28回　京阪神和奈滋対抗戦　　　(大阪；玉出エース)</v>
      </c>
      <c r="AM171" s="36"/>
      <c r="AN171" s="36"/>
      <c r="AO171" s="36"/>
      <c r="AP171" s="36"/>
      <c r="AQ171" s="36"/>
      <c r="AR171" s="37"/>
      <c r="AU171" s="23" t="str">
        <f>'★個人成績表★'!$A$1</f>
        <v>第28回　京阪神和奈滋対抗戦　　　(大阪；玉出エース)</v>
      </c>
      <c r="AV171" s="36"/>
      <c r="AW171" s="36"/>
      <c r="AX171" s="36"/>
      <c r="AY171" s="36"/>
      <c r="AZ171" s="36"/>
      <c r="BA171" s="37"/>
      <c r="BD171" s="23" t="str">
        <f>'★個人成績表★'!$A$1</f>
        <v>第28回　京阪神和奈滋対抗戦　　　(大阪；玉出エース)</v>
      </c>
      <c r="BE171" s="36"/>
      <c r="BF171" s="36"/>
      <c r="BG171" s="36"/>
      <c r="BH171" s="36"/>
      <c r="BI171" s="36"/>
      <c r="BJ171" s="37"/>
      <c r="BL171" t="s">
        <v>33</v>
      </c>
    </row>
    <row r="173" spans="2:61" s="38" customFormat="1" ht="15" customHeight="1">
      <c r="B173" s="22" t="s">
        <v>35</v>
      </c>
      <c r="C173" s="30">
        <f>BE163+1</f>
        <v>113</v>
      </c>
      <c r="F173" s="22" t="s">
        <v>36</v>
      </c>
      <c r="G173" s="30"/>
      <c r="K173" s="22" t="s">
        <v>35</v>
      </c>
      <c r="L173" s="30">
        <f>C173+1</f>
        <v>114</v>
      </c>
      <c r="O173" s="22" t="s">
        <v>36</v>
      </c>
      <c r="P173" s="30"/>
      <c r="T173" s="22" t="s">
        <v>35</v>
      </c>
      <c r="U173" s="30">
        <f>L173+1</f>
        <v>115</v>
      </c>
      <c r="X173" s="22" t="s">
        <v>36</v>
      </c>
      <c r="Y173" s="30"/>
      <c r="AC173" s="22" t="s">
        <v>35</v>
      </c>
      <c r="AD173" s="30">
        <f>U173+1</f>
        <v>116</v>
      </c>
      <c r="AG173" s="22" t="s">
        <v>36</v>
      </c>
      <c r="AH173" s="30"/>
      <c r="AL173" s="22" t="s">
        <v>35</v>
      </c>
      <c r="AM173" s="30">
        <f>AD173+1</f>
        <v>117</v>
      </c>
      <c r="AP173" s="22" t="s">
        <v>36</v>
      </c>
      <c r="AQ173" s="30"/>
      <c r="AU173" s="22" t="s">
        <v>35</v>
      </c>
      <c r="AV173" s="30">
        <f>AM173+1</f>
        <v>118</v>
      </c>
      <c r="AY173" s="22" t="s">
        <v>36</v>
      </c>
      <c r="AZ173" s="30"/>
      <c r="BD173" s="22" t="s">
        <v>35</v>
      </c>
      <c r="BE173" s="30">
        <f>AV173+1</f>
        <v>119</v>
      </c>
      <c r="BH173" s="22" t="s">
        <v>36</v>
      </c>
      <c r="BI173" s="30"/>
    </row>
    <row r="174" ht="15" customHeight="1" thickBot="1"/>
    <row r="175" spans="2:62" ht="31.5" customHeight="1">
      <c r="B175" s="39" t="str">
        <f>VLOOKUP(C173,'結果入力表'!$B$2:$J$212,2,FALSE)</f>
        <v>HRC</v>
      </c>
      <c r="C175" s="40"/>
      <c r="D175" s="41"/>
      <c r="E175" s="42" t="s">
        <v>29</v>
      </c>
      <c r="F175" s="43" t="str">
        <f>VLOOKUP(C173,'結果入力表'!$B$2:$J$212,9,FALSE)</f>
        <v>SBC</v>
      </c>
      <c r="G175" s="40"/>
      <c r="H175" s="44"/>
      <c r="K175" s="39" t="str">
        <f>VLOOKUP(L173,'結果入力表'!$B$2:$J$212,2,FALSE)</f>
        <v>HRC</v>
      </c>
      <c r="L175" s="40"/>
      <c r="M175" s="41"/>
      <c r="N175" s="42" t="s">
        <v>29</v>
      </c>
      <c r="O175" s="43" t="str">
        <f>VLOOKUP(L173,'結果入力表'!$B$2:$J$212,9,FALSE)</f>
        <v>SBC</v>
      </c>
      <c r="P175" s="40"/>
      <c r="Q175" s="44"/>
      <c r="T175" s="39" t="str">
        <f>VLOOKUP(U173,'結果入力表'!$B$2:$J$212,2,FALSE)</f>
        <v>HRC</v>
      </c>
      <c r="U175" s="40"/>
      <c r="V175" s="41"/>
      <c r="W175" s="42" t="s">
        <v>29</v>
      </c>
      <c r="X175" s="43" t="str">
        <f>VLOOKUP(U173,'結果入力表'!$B$2:$J$212,9,FALSE)</f>
        <v>SBC</v>
      </c>
      <c r="Y175" s="40"/>
      <c r="Z175" s="44"/>
      <c r="AC175" s="39" t="str">
        <f>VLOOKUP(AD173,'結果入力表'!$B$2:$J$212,2,FALSE)</f>
        <v>HRC</v>
      </c>
      <c r="AD175" s="40"/>
      <c r="AE175" s="41"/>
      <c r="AF175" s="42" t="s">
        <v>29</v>
      </c>
      <c r="AG175" s="43" t="str">
        <f>VLOOKUP(AD173,'結果入力表'!$B$2:$J$212,9,FALSE)</f>
        <v>SBC</v>
      </c>
      <c r="AH175" s="40"/>
      <c r="AI175" s="44"/>
      <c r="AL175" s="39" t="str">
        <f>VLOOKUP(AM173,'結果入力表'!$B$2:$J$212,2,FALSE)</f>
        <v>HRC</v>
      </c>
      <c r="AM175" s="40"/>
      <c r="AN175" s="41"/>
      <c r="AO175" s="42" t="s">
        <v>29</v>
      </c>
      <c r="AP175" s="43" t="str">
        <f>VLOOKUP(AM173,'結果入力表'!$B$2:$J$212,9,FALSE)</f>
        <v>SBC</v>
      </c>
      <c r="AQ175" s="40"/>
      <c r="AR175" s="44"/>
      <c r="AU175" s="39" t="str">
        <f>VLOOKUP(AV173,'結果入力表'!$B$2:$J$212,2,FALSE)</f>
        <v>HRC</v>
      </c>
      <c r="AV175" s="40"/>
      <c r="AW175" s="41"/>
      <c r="AX175" s="42" t="s">
        <v>29</v>
      </c>
      <c r="AY175" s="43" t="str">
        <f>VLOOKUP(AV173,'結果入力表'!$B$2:$J$212,9,FALSE)</f>
        <v>SBC</v>
      </c>
      <c r="AZ175" s="40"/>
      <c r="BA175" s="44"/>
      <c r="BD175" s="39" t="str">
        <f>VLOOKUP(BE173,'結果入力表'!$B$2:$J$212,2,FALSE)</f>
        <v>HRC</v>
      </c>
      <c r="BE175" s="40"/>
      <c r="BF175" s="41"/>
      <c r="BG175" s="42" t="s">
        <v>29</v>
      </c>
      <c r="BH175" s="43" t="str">
        <f>VLOOKUP(BE173,'結果入力表'!$B$2:$J$212,9,FALSE)</f>
        <v>SBC</v>
      </c>
      <c r="BI175" s="40"/>
      <c r="BJ175" s="44"/>
    </row>
    <row r="176" spans="2:62" ht="46.5" customHeight="1">
      <c r="B176" s="438" t="str">
        <f>VLOOKUP(C173,'結果入力表'!$B$2:$J$212,3,FALSE)</f>
        <v>長井　充</v>
      </c>
      <c r="C176" s="19"/>
      <c r="D176" s="20"/>
      <c r="E176" s="46" t="s">
        <v>30</v>
      </c>
      <c r="F176" s="437" t="str">
        <f>VLOOKUP(C173,'結果入力表'!$B$2:$J$212,8,FALSE)</f>
        <v>高島 太一</v>
      </c>
      <c r="G176" s="19"/>
      <c r="H176" s="48"/>
      <c r="K176" s="438" t="str">
        <f>VLOOKUP(L173,'結果入力表'!$B$2:$J$212,3,FALSE)</f>
        <v>藤中健太郎</v>
      </c>
      <c r="L176" s="19"/>
      <c r="M176" s="20"/>
      <c r="N176" s="46" t="s">
        <v>30</v>
      </c>
      <c r="O176" s="437" t="str">
        <f>VLOOKUP(L173,'結果入力表'!$B$2:$J$212,8,FALSE)</f>
        <v>須藤 浩章</v>
      </c>
      <c r="P176" s="19"/>
      <c r="Q176" s="48"/>
      <c r="T176" s="438" t="str">
        <f>VLOOKUP(U173,'結果入力表'!$B$2:$J$212,3,FALSE)</f>
        <v>後藤 勇治</v>
      </c>
      <c r="U176" s="19"/>
      <c r="V176" s="20"/>
      <c r="W176" s="46" t="s">
        <v>30</v>
      </c>
      <c r="X176" s="437" t="str">
        <f>VLOOKUP(U173,'結果入力表'!$B$2:$J$212,8,FALSE)</f>
        <v>酒井 美希</v>
      </c>
      <c r="Y176" s="19"/>
      <c r="Z176" s="48"/>
      <c r="AC176" s="438" t="str">
        <f>VLOOKUP(AD173,'結果入力表'!$B$2:$J$212,3,FALSE)</f>
        <v>丹羽 俊也</v>
      </c>
      <c r="AD176" s="19"/>
      <c r="AE176" s="20"/>
      <c r="AF176" s="46" t="s">
        <v>30</v>
      </c>
      <c r="AG176" s="437" t="str">
        <f>VLOOKUP(AD173,'結果入力表'!$B$2:$J$212,8,FALSE)</f>
        <v>西峰 久祐</v>
      </c>
      <c r="AH176" s="19"/>
      <c r="AI176" s="48"/>
      <c r="AL176" s="438" t="str">
        <f>VLOOKUP(AM173,'結果入力表'!$B$2:$J$212,3,FALSE)</f>
        <v>平井 洸志</v>
      </c>
      <c r="AM176" s="19"/>
      <c r="AN176" s="20"/>
      <c r="AO176" s="46" t="s">
        <v>30</v>
      </c>
      <c r="AP176" s="437" t="str">
        <f>VLOOKUP(AM173,'結果入力表'!$B$2:$J$212,8,FALSE)</f>
        <v>長田 智紀</v>
      </c>
      <c r="AQ176" s="19"/>
      <c r="AR176" s="48"/>
      <c r="AU176" s="438" t="str">
        <f>VLOOKUP(AV173,'結果入力表'!$B$2:$J$212,3,FALSE)</f>
        <v>栃下 恭子</v>
      </c>
      <c r="AV176" s="19"/>
      <c r="AW176" s="20"/>
      <c r="AX176" s="46" t="s">
        <v>30</v>
      </c>
      <c r="AY176" s="437" t="str">
        <f>VLOOKUP(AV173,'結果入力表'!$B$2:$J$212,8,FALSE)</f>
        <v>大橋 義治</v>
      </c>
      <c r="AZ176" s="19"/>
      <c r="BA176" s="48"/>
      <c r="BD176" s="438" t="str">
        <f>VLOOKUP(BE173,'結果入力表'!$B$2:$J$212,3,FALSE)</f>
        <v>堂園 雅也</v>
      </c>
      <c r="BE176" s="19"/>
      <c r="BF176" s="20"/>
      <c r="BG176" s="46" t="s">
        <v>30</v>
      </c>
      <c r="BH176" s="437" t="str">
        <f>VLOOKUP(BE173,'結果入力表'!$B$2:$J$212,8,FALSE)</f>
        <v>山中 康寛</v>
      </c>
      <c r="BI176" s="19"/>
      <c r="BJ176" s="48"/>
    </row>
    <row r="177" spans="2:62" ht="37.5" customHeight="1">
      <c r="B177" s="49"/>
      <c r="C177" s="19"/>
      <c r="D177" s="20"/>
      <c r="E177" s="46" t="s">
        <v>31</v>
      </c>
      <c r="F177" s="50"/>
      <c r="G177" s="19"/>
      <c r="H177" s="48"/>
      <c r="K177" s="49"/>
      <c r="L177" s="19"/>
      <c r="M177" s="20"/>
      <c r="N177" s="46" t="s">
        <v>31</v>
      </c>
      <c r="O177" s="50"/>
      <c r="P177" s="19"/>
      <c r="Q177" s="48"/>
      <c r="T177" s="49"/>
      <c r="U177" s="19"/>
      <c r="V177" s="20"/>
      <c r="W177" s="46" t="s">
        <v>31</v>
      </c>
      <c r="X177" s="50"/>
      <c r="Y177" s="19"/>
      <c r="Z177" s="48"/>
      <c r="AC177" s="49"/>
      <c r="AD177" s="19"/>
      <c r="AE177" s="20"/>
      <c r="AF177" s="46" t="s">
        <v>31</v>
      </c>
      <c r="AG177" s="50"/>
      <c r="AH177" s="19"/>
      <c r="AI177" s="48"/>
      <c r="AL177" s="49"/>
      <c r="AM177" s="19"/>
      <c r="AN177" s="20"/>
      <c r="AO177" s="46" t="s">
        <v>31</v>
      </c>
      <c r="AP177" s="50"/>
      <c r="AQ177" s="19"/>
      <c r="AR177" s="48"/>
      <c r="AU177" s="49"/>
      <c r="AV177" s="19"/>
      <c r="AW177" s="20"/>
      <c r="AX177" s="46" t="s">
        <v>31</v>
      </c>
      <c r="AY177" s="50"/>
      <c r="AZ177" s="19"/>
      <c r="BA177" s="48"/>
      <c r="BD177" s="49"/>
      <c r="BE177" s="19"/>
      <c r="BF177" s="20"/>
      <c r="BG177" s="46" t="s">
        <v>31</v>
      </c>
      <c r="BH177" s="50"/>
      <c r="BI177" s="19"/>
      <c r="BJ177" s="48"/>
    </row>
    <row r="178" spans="2:62" ht="37.5" customHeight="1" thickBot="1">
      <c r="B178" s="51"/>
      <c r="C178" s="52"/>
      <c r="D178" s="53"/>
      <c r="E178" s="54" t="s">
        <v>32</v>
      </c>
      <c r="F178" s="55"/>
      <c r="G178" s="52"/>
      <c r="H178" s="56"/>
      <c r="K178" s="51"/>
      <c r="L178" s="52"/>
      <c r="M178" s="53"/>
      <c r="N178" s="54" t="s">
        <v>32</v>
      </c>
      <c r="O178" s="55"/>
      <c r="P178" s="52"/>
      <c r="Q178" s="56"/>
      <c r="T178" s="51"/>
      <c r="U178" s="52"/>
      <c r="V178" s="53"/>
      <c r="W178" s="54" t="s">
        <v>32</v>
      </c>
      <c r="X178" s="55"/>
      <c r="Y178" s="52"/>
      <c r="Z178" s="56"/>
      <c r="AC178" s="51"/>
      <c r="AD178" s="52"/>
      <c r="AE178" s="53"/>
      <c r="AF178" s="54" t="s">
        <v>32</v>
      </c>
      <c r="AG178" s="55"/>
      <c r="AH178" s="52"/>
      <c r="AI178" s="56"/>
      <c r="AL178" s="51"/>
      <c r="AM178" s="52"/>
      <c r="AN178" s="53"/>
      <c r="AO178" s="54" t="s">
        <v>32</v>
      </c>
      <c r="AP178" s="55"/>
      <c r="AQ178" s="52"/>
      <c r="AR178" s="56"/>
      <c r="AU178" s="51"/>
      <c r="AV178" s="52"/>
      <c r="AW178" s="53"/>
      <c r="AX178" s="54" t="s">
        <v>32</v>
      </c>
      <c r="AY178" s="55"/>
      <c r="AZ178" s="52"/>
      <c r="BA178" s="56"/>
      <c r="BD178" s="51"/>
      <c r="BE178" s="52"/>
      <c r="BF178" s="53"/>
      <c r="BG178" s="54" t="s">
        <v>32</v>
      </c>
      <c r="BH178" s="55"/>
      <c r="BI178" s="52"/>
      <c r="BJ178" s="56"/>
    </row>
    <row r="180" spans="4:62" ht="15" customHeight="1">
      <c r="D180" s="22"/>
      <c r="E180" s="22"/>
      <c r="F180" s="21" t="s">
        <v>37</v>
      </c>
      <c r="G180" s="30"/>
      <c r="H180" s="30"/>
      <c r="M180" s="22"/>
      <c r="N180" s="22"/>
      <c r="O180" s="21" t="s">
        <v>37</v>
      </c>
      <c r="P180" s="30"/>
      <c r="Q180" s="30"/>
      <c r="V180" s="22"/>
      <c r="W180" s="22"/>
      <c r="X180" s="21" t="s">
        <v>37</v>
      </c>
      <c r="Y180" s="30"/>
      <c r="Z180" s="30"/>
      <c r="AE180" s="22"/>
      <c r="AF180" s="22"/>
      <c r="AG180" s="21" t="s">
        <v>37</v>
      </c>
      <c r="AH180" s="30"/>
      <c r="AI180" s="30"/>
      <c r="AN180" s="22"/>
      <c r="AO180" s="22"/>
      <c r="AP180" s="21" t="s">
        <v>37</v>
      </c>
      <c r="AQ180" s="30"/>
      <c r="AR180" s="30"/>
      <c r="AW180" s="22"/>
      <c r="AX180" s="22"/>
      <c r="AY180" s="21" t="s">
        <v>37</v>
      </c>
      <c r="AZ180" s="30"/>
      <c r="BA180" s="30"/>
      <c r="BF180" s="22"/>
      <c r="BG180" s="22"/>
      <c r="BH180" s="21" t="s">
        <v>37</v>
      </c>
      <c r="BI180" s="30"/>
      <c r="BJ180" s="30"/>
    </row>
    <row r="181" spans="2:64" ht="15" customHeight="1">
      <c r="B181" s="23" t="str">
        <f>'★個人成績表★'!$A$1</f>
        <v>第28回　京阪神和奈滋対抗戦　　　(大阪；玉出エース)</v>
      </c>
      <c r="C181" s="36"/>
      <c r="D181" s="36"/>
      <c r="E181" s="36"/>
      <c r="F181" s="36"/>
      <c r="G181" s="36"/>
      <c r="H181" s="37"/>
      <c r="K181" s="23" t="str">
        <f>'★個人成績表★'!$A$1</f>
        <v>第28回　京阪神和奈滋対抗戦　　　(大阪；玉出エース)</v>
      </c>
      <c r="L181" s="36"/>
      <c r="M181" s="36"/>
      <c r="N181" s="36"/>
      <c r="O181" s="36"/>
      <c r="P181" s="36"/>
      <c r="Q181" s="37"/>
      <c r="T181" s="23" t="str">
        <f>'★個人成績表★'!$A$1</f>
        <v>第28回　京阪神和奈滋対抗戦　　　(大阪；玉出エース)</v>
      </c>
      <c r="U181" s="36"/>
      <c r="V181" s="36"/>
      <c r="W181" s="36"/>
      <c r="X181" s="36"/>
      <c r="Y181" s="36"/>
      <c r="Z181" s="37"/>
      <c r="AC181" s="23" t="str">
        <f>'★個人成績表★'!$A$1</f>
        <v>第28回　京阪神和奈滋対抗戦　　　(大阪；玉出エース)</v>
      </c>
      <c r="AD181" s="36"/>
      <c r="AE181" s="36"/>
      <c r="AF181" s="36"/>
      <c r="AG181" s="36"/>
      <c r="AH181" s="36"/>
      <c r="AI181" s="37"/>
      <c r="AL181" s="23" t="str">
        <f>'★個人成績表★'!$A$1</f>
        <v>第28回　京阪神和奈滋対抗戦　　　(大阪；玉出エース)</v>
      </c>
      <c r="AM181" s="36"/>
      <c r="AN181" s="36"/>
      <c r="AO181" s="36"/>
      <c r="AP181" s="36"/>
      <c r="AQ181" s="36"/>
      <c r="AR181" s="37"/>
      <c r="AU181" s="23" t="str">
        <f>'★個人成績表★'!$A$1</f>
        <v>第28回　京阪神和奈滋対抗戦　　　(大阪；玉出エース)</v>
      </c>
      <c r="AV181" s="36"/>
      <c r="AW181" s="36"/>
      <c r="AX181" s="36"/>
      <c r="AY181" s="36"/>
      <c r="AZ181" s="36"/>
      <c r="BA181" s="37"/>
      <c r="BD181" s="23" t="str">
        <f>'★個人成績表★'!$A$1</f>
        <v>第28回　京阪神和奈滋対抗戦　　　(大阪；玉出エース)</v>
      </c>
      <c r="BE181" s="36"/>
      <c r="BF181" s="36"/>
      <c r="BG181" s="36"/>
      <c r="BH181" s="36"/>
      <c r="BI181" s="36"/>
      <c r="BJ181" s="37"/>
      <c r="BL181" t="s">
        <v>33</v>
      </c>
    </row>
    <row r="183" spans="2:61" s="38" customFormat="1" ht="15" customHeight="1">
      <c r="B183" s="22" t="s">
        <v>35</v>
      </c>
      <c r="C183" s="30">
        <f>BE173+1</f>
        <v>120</v>
      </c>
      <c r="F183" s="22" t="s">
        <v>36</v>
      </c>
      <c r="G183" s="30"/>
      <c r="K183" s="22" t="s">
        <v>35</v>
      </c>
      <c r="L183" s="30">
        <f>C183+1</f>
        <v>121</v>
      </c>
      <c r="O183" s="22" t="s">
        <v>36</v>
      </c>
      <c r="P183" s="30"/>
      <c r="T183" s="22" t="s">
        <v>35</v>
      </c>
      <c r="U183" s="30">
        <f>L183+1</f>
        <v>122</v>
      </c>
      <c r="X183" s="22" t="s">
        <v>36</v>
      </c>
      <c r="Y183" s="30"/>
      <c r="AC183" s="22" t="s">
        <v>35</v>
      </c>
      <c r="AD183" s="30">
        <f>U183+1</f>
        <v>123</v>
      </c>
      <c r="AG183" s="22" t="s">
        <v>36</v>
      </c>
      <c r="AH183" s="30"/>
      <c r="AL183" s="22" t="s">
        <v>35</v>
      </c>
      <c r="AM183" s="30">
        <f>AD183+1</f>
        <v>124</v>
      </c>
      <c r="AP183" s="22" t="s">
        <v>36</v>
      </c>
      <c r="AQ183" s="30"/>
      <c r="AU183" s="22" t="s">
        <v>35</v>
      </c>
      <c r="AV183" s="30">
        <f>AM183+1</f>
        <v>125</v>
      </c>
      <c r="AY183" s="22" t="s">
        <v>36</v>
      </c>
      <c r="AZ183" s="30"/>
      <c r="BD183" s="22" t="s">
        <v>35</v>
      </c>
      <c r="BE183" s="30">
        <f>AV183+1</f>
        <v>126</v>
      </c>
      <c r="BH183" s="22" t="s">
        <v>36</v>
      </c>
      <c r="BI183" s="30"/>
    </row>
    <row r="184" ht="15" customHeight="1" thickBot="1"/>
    <row r="185" spans="2:62" ht="31.5" customHeight="1">
      <c r="B185" s="39" t="str">
        <f>VLOOKUP(C183,'結果入力表'!$B$2:$J$212,2,FALSE)</f>
        <v>KRC</v>
      </c>
      <c r="C185" s="40"/>
      <c r="D185" s="41"/>
      <c r="E185" s="42" t="s">
        <v>29</v>
      </c>
      <c r="F185" s="43" t="str">
        <f>VLOOKUP(C183,'結果入力表'!$B$2:$J$212,9,FALSE)</f>
        <v>WRC</v>
      </c>
      <c r="G185" s="40"/>
      <c r="H185" s="44"/>
      <c r="K185" s="39" t="str">
        <f>VLOOKUP(L183,'結果入力表'!$B$2:$J$212,2,FALSE)</f>
        <v>KRC</v>
      </c>
      <c r="L185" s="40"/>
      <c r="M185" s="41"/>
      <c r="N185" s="42" t="s">
        <v>29</v>
      </c>
      <c r="O185" s="43" t="str">
        <f>VLOOKUP(L183,'結果入力表'!$B$2:$J$212,9,FALSE)</f>
        <v>WRC</v>
      </c>
      <c r="P185" s="40"/>
      <c r="Q185" s="44"/>
      <c r="T185" s="39" t="str">
        <f>VLOOKUP(U183,'結果入力表'!$B$2:$J$212,2,FALSE)</f>
        <v>KRC</v>
      </c>
      <c r="U185" s="40"/>
      <c r="V185" s="41"/>
      <c r="W185" s="42" t="s">
        <v>29</v>
      </c>
      <c r="X185" s="43" t="str">
        <f>VLOOKUP(U183,'結果入力表'!$B$2:$J$212,9,FALSE)</f>
        <v>WRC</v>
      </c>
      <c r="Y185" s="40"/>
      <c r="Z185" s="44"/>
      <c r="AC185" s="39" t="str">
        <f>VLOOKUP(AD183,'結果入力表'!$B$2:$J$212,2,FALSE)</f>
        <v>KRC</v>
      </c>
      <c r="AD185" s="40"/>
      <c r="AE185" s="41"/>
      <c r="AF185" s="42" t="s">
        <v>29</v>
      </c>
      <c r="AG185" s="43" t="str">
        <f>VLOOKUP(AD183,'結果入力表'!$B$2:$J$212,9,FALSE)</f>
        <v>WRC</v>
      </c>
      <c r="AH185" s="40"/>
      <c r="AI185" s="44"/>
      <c r="AL185" s="39" t="str">
        <f>VLOOKUP(AM183,'結果入力表'!$B$2:$J$212,2,FALSE)</f>
        <v>KRC</v>
      </c>
      <c r="AM185" s="40"/>
      <c r="AN185" s="41"/>
      <c r="AO185" s="42" t="s">
        <v>29</v>
      </c>
      <c r="AP185" s="43" t="str">
        <f>VLOOKUP(AM183,'結果入力表'!$B$2:$J$212,9,FALSE)</f>
        <v>WRC</v>
      </c>
      <c r="AQ185" s="40"/>
      <c r="AR185" s="44"/>
      <c r="AU185" s="39" t="str">
        <f>VLOOKUP(AV183,'結果入力表'!$B$2:$J$212,2,FALSE)</f>
        <v>KRC</v>
      </c>
      <c r="AV185" s="40"/>
      <c r="AW185" s="41"/>
      <c r="AX185" s="42" t="s">
        <v>29</v>
      </c>
      <c r="AY185" s="43" t="str">
        <f>VLOOKUP(AV183,'結果入力表'!$B$2:$J$212,9,FALSE)</f>
        <v>WRC</v>
      </c>
      <c r="AZ185" s="40"/>
      <c r="BA185" s="44"/>
      <c r="BD185" s="39" t="str">
        <f>VLOOKUP(BE183,'結果入力表'!$B$2:$J$212,2,FALSE)</f>
        <v>KRC</v>
      </c>
      <c r="BE185" s="40"/>
      <c r="BF185" s="41"/>
      <c r="BG185" s="42" t="s">
        <v>29</v>
      </c>
      <c r="BH185" s="43" t="str">
        <f>VLOOKUP(BE183,'結果入力表'!$B$2:$J$212,9,FALSE)</f>
        <v>WRC</v>
      </c>
      <c r="BI185" s="40"/>
      <c r="BJ185" s="44"/>
    </row>
    <row r="186" spans="2:62" ht="46.5" customHeight="1">
      <c r="B186" s="438" t="str">
        <f>VLOOKUP(C183,'結果入力表'!$B$2:$J$212,3,FALSE)</f>
        <v>折戸 和幸</v>
      </c>
      <c r="C186" s="19"/>
      <c r="D186" s="20"/>
      <c r="E186" s="46" t="s">
        <v>30</v>
      </c>
      <c r="F186" s="437" t="str">
        <f>VLOOKUP(C183,'結果入力表'!$B$2:$J$212,8,FALSE)</f>
        <v>中本 雅大</v>
      </c>
      <c r="G186" s="19"/>
      <c r="H186" s="48"/>
      <c r="K186" s="438" t="str">
        <f>VLOOKUP(L183,'結果入力表'!$B$2:$J$212,3,FALSE)</f>
        <v>今村 哲也</v>
      </c>
      <c r="L186" s="19"/>
      <c r="M186" s="20"/>
      <c r="N186" s="46" t="s">
        <v>30</v>
      </c>
      <c r="O186" s="437" t="str">
        <f>VLOOKUP(L183,'結果入力表'!$B$2:$J$212,8,FALSE)</f>
        <v>松房ゆかり</v>
      </c>
      <c r="P186" s="19"/>
      <c r="Q186" s="48"/>
      <c r="T186" s="438" t="str">
        <f>VLOOKUP(U183,'結果入力表'!$B$2:$J$212,3,FALSE)</f>
        <v>小山 久博</v>
      </c>
      <c r="U186" s="19"/>
      <c r="V186" s="20"/>
      <c r="W186" s="46" t="s">
        <v>30</v>
      </c>
      <c r="X186" s="437" t="str">
        <f>VLOOKUP(U183,'結果入力表'!$B$2:$J$212,8,FALSE)</f>
        <v>末岡　修</v>
      </c>
      <c r="Y186" s="19"/>
      <c r="Z186" s="48"/>
      <c r="AC186" s="438" t="str">
        <f>VLOOKUP(AD183,'結果入力表'!$B$2:$J$212,3,FALSE)</f>
        <v>伊庭 保久</v>
      </c>
      <c r="AD186" s="19"/>
      <c r="AE186" s="20"/>
      <c r="AF186" s="46" t="s">
        <v>30</v>
      </c>
      <c r="AG186" s="437" t="str">
        <f>VLOOKUP(AD183,'結果入力表'!$B$2:$J$212,8,FALSE)</f>
        <v>杉本 博章</v>
      </c>
      <c r="AH186" s="19"/>
      <c r="AI186" s="48"/>
      <c r="AL186" s="438" t="str">
        <f>VLOOKUP(AM183,'結果入力表'!$B$2:$J$212,3,FALSE)</f>
        <v>菊池 靖正</v>
      </c>
      <c r="AM186" s="19"/>
      <c r="AN186" s="20"/>
      <c r="AO186" s="46" t="s">
        <v>30</v>
      </c>
      <c r="AP186" s="437" t="str">
        <f>VLOOKUP(AM183,'結果入力表'!$B$2:$J$212,8,FALSE)</f>
        <v>丹次 力良</v>
      </c>
      <c r="AQ186" s="19"/>
      <c r="AR186" s="48"/>
      <c r="AU186" s="438" t="str">
        <f>VLOOKUP(AV183,'結果入力表'!$B$2:$J$212,3,FALSE)</f>
        <v>田附 裕次</v>
      </c>
      <c r="AV186" s="19"/>
      <c r="AW186" s="20"/>
      <c r="AX186" s="46" t="s">
        <v>30</v>
      </c>
      <c r="AY186" s="437" t="str">
        <f>VLOOKUP(AV183,'結果入力表'!$B$2:$J$212,8,FALSE)</f>
        <v>芝先 泰生</v>
      </c>
      <c r="AZ186" s="19"/>
      <c r="BA186" s="48"/>
      <c r="BD186" s="438" t="str">
        <f>VLOOKUP(BE183,'結果入力表'!$B$2:$J$212,3,FALSE)</f>
        <v>森田由佳里</v>
      </c>
      <c r="BE186" s="19"/>
      <c r="BF186" s="20"/>
      <c r="BG186" s="46" t="s">
        <v>30</v>
      </c>
      <c r="BH186" s="437" t="str">
        <f>VLOOKUP(BE183,'結果入力表'!$B$2:$J$212,8,FALSE)</f>
        <v>岸上 賢一</v>
      </c>
      <c r="BI186" s="19"/>
      <c r="BJ186" s="48"/>
    </row>
    <row r="187" spans="2:62" ht="37.5" customHeight="1">
      <c r="B187" s="49"/>
      <c r="C187" s="19"/>
      <c r="D187" s="20"/>
      <c r="E187" s="46" t="s">
        <v>31</v>
      </c>
      <c r="F187" s="50"/>
      <c r="G187" s="19"/>
      <c r="H187" s="48"/>
      <c r="K187" s="49"/>
      <c r="L187" s="19"/>
      <c r="M187" s="20"/>
      <c r="N187" s="46" t="s">
        <v>31</v>
      </c>
      <c r="O187" s="50"/>
      <c r="P187" s="19"/>
      <c r="Q187" s="48"/>
      <c r="T187" s="49"/>
      <c r="U187" s="19"/>
      <c r="V187" s="20"/>
      <c r="W187" s="46" t="s">
        <v>31</v>
      </c>
      <c r="X187" s="50"/>
      <c r="Y187" s="19"/>
      <c r="Z187" s="48"/>
      <c r="AC187" s="49"/>
      <c r="AD187" s="19"/>
      <c r="AE187" s="20"/>
      <c r="AF187" s="46" t="s">
        <v>31</v>
      </c>
      <c r="AG187" s="50"/>
      <c r="AH187" s="19"/>
      <c r="AI187" s="48"/>
      <c r="AL187" s="49"/>
      <c r="AM187" s="19"/>
      <c r="AN187" s="20"/>
      <c r="AO187" s="46" t="s">
        <v>31</v>
      </c>
      <c r="AP187" s="50"/>
      <c r="AQ187" s="19"/>
      <c r="AR187" s="48"/>
      <c r="AU187" s="49"/>
      <c r="AV187" s="19"/>
      <c r="AW187" s="20"/>
      <c r="AX187" s="46" t="s">
        <v>31</v>
      </c>
      <c r="AY187" s="50"/>
      <c r="AZ187" s="19"/>
      <c r="BA187" s="48"/>
      <c r="BD187" s="49"/>
      <c r="BE187" s="19"/>
      <c r="BF187" s="20"/>
      <c r="BG187" s="46" t="s">
        <v>31</v>
      </c>
      <c r="BH187" s="50"/>
      <c r="BI187" s="19"/>
      <c r="BJ187" s="48"/>
    </row>
    <row r="188" spans="2:62" ht="37.5" customHeight="1" thickBot="1">
      <c r="B188" s="51"/>
      <c r="C188" s="52"/>
      <c r="D188" s="53"/>
      <c r="E188" s="54" t="s">
        <v>32</v>
      </c>
      <c r="F188" s="55"/>
      <c r="G188" s="52"/>
      <c r="H188" s="56"/>
      <c r="K188" s="51"/>
      <c r="L188" s="52"/>
      <c r="M188" s="53"/>
      <c r="N188" s="54" t="s">
        <v>32</v>
      </c>
      <c r="O188" s="55"/>
      <c r="P188" s="52"/>
      <c r="Q188" s="56"/>
      <c r="T188" s="51"/>
      <c r="U188" s="52"/>
      <c r="V188" s="53"/>
      <c r="W188" s="54" t="s">
        <v>32</v>
      </c>
      <c r="X188" s="55"/>
      <c r="Y188" s="52"/>
      <c r="Z188" s="56"/>
      <c r="AC188" s="51"/>
      <c r="AD188" s="52"/>
      <c r="AE188" s="53"/>
      <c r="AF188" s="54" t="s">
        <v>32</v>
      </c>
      <c r="AG188" s="55"/>
      <c r="AH188" s="52"/>
      <c r="AI188" s="56"/>
      <c r="AL188" s="51"/>
      <c r="AM188" s="52"/>
      <c r="AN188" s="53"/>
      <c r="AO188" s="54" t="s">
        <v>32</v>
      </c>
      <c r="AP188" s="55"/>
      <c r="AQ188" s="52"/>
      <c r="AR188" s="56"/>
      <c r="AU188" s="51"/>
      <c r="AV188" s="52"/>
      <c r="AW188" s="53"/>
      <c r="AX188" s="54" t="s">
        <v>32</v>
      </c>
      <c r="AY188" s="55"/>
      <c r="AZ188" s="52"/>
      <c r="BA188" s="56"/>
      <c r="BD188" s="51"/>
      <c r="BE188" s="52"/>
      <c r="BF188" s="53"/>
      <c r="BG188" s="54" t="s">
        <v>32</v>
      </c>
      <c r="BH188" s="55"/>
      <c r="BI188" s="52"/>
      <c r="BJ188" s="56"/>
    </row>
    <row r="190" spans="4:62" ht="15" customHeight="1">
      <c r="D190" s="22"/>
      <c r="E190" s="22"/>
      <c r="F190" s="21" t="s">
        <v>37</v>
      </c>
      <c r="G190" s="30"/>
      <c r="H190" s="30"/>
      <c r="M190" s="22"/>
      <c r="N190" s="22"/>
      <c r="O190" s="21" t="s">
        <v>37</v>
      </c>
      <c r="P190" s="30"/>
      <c r="Q190" s="30"/>
      <c r="V190" s="22"/>
      <c r="W190" s="22"/>
      <c r="X190" s="21" t="s">
        <v>37</v>
      </c>
      <c r="Y190" s="30"/>
      <c r="Z190" s="30"/>
      <c r="AE190" s="22"/>
      <c r="AF190" s="22"/>
      <c r="AG190" s="21" t="s">
        <v>37</v>
      </c>
      <c r="AH190" s="30"/>
      <c r="AI190" s="30"/>
      <c r="AN190" s="22"/>
      <c r="AO190" s="22"/>
      <c r="AP190" s="21" t="s">
        <v>37</v>
      </c>
      <c r="AQ190" s="30"/>
      <c r="AR190" s="30"/>
      <c r="AW190" s="22"/>
      <c r="AX190" s="22"/>
      <c r="AY190" s="21" t="s">
        <v>37</v>
      </c>
      <c r="AZ190" s="30"/>
      <c r="BA190" s="30"/>
      <c r="BF190" s="22"/>
      <c r="BG190" s="22"/>
      <c r="BH190" s="21" t="s">
        <v>37</v>
      </c>
      <c r="BI190" s="30"/>
      <c r="BJ190" s="30"/>
    </row>
    <row r="191" spans="2:64" ht="15" customHeight="1">
      <c r="B191" s="23" t="str">
        <f>'★個人成績表★'!$A$1</f>
        <v>第28回　京阪神和奈滋対抗戦　　　(大阪；玉出エース)</v>
      </c>
      <c r="C191" s="36"/>
      <c r="D191" s="36"/>
      <c r="E191" s="36"/>
      <c r="F191" s="36"/>
      <c r="G191" s="36"/>
      <c r="H191" s="37"/>
      <c r="K191" s="23" t="str">
        <f>'★個人成績表★'!$A$1</f>
        <v>第28回　京阪神和奈滋対抗戦　　　(大阪；玉出エース)</v>
      </c>
      <c r="L191" s="36"/>
      <c r="M191" s="36"/>
      <c r="N191" s="36"/>
      <c r="O191" s="36"/>
      <c r="P191" s="36"/>
      <c r="Q191" s="37"/>
      <c r="T191" s="23" t="str">
        <f>'★個人成績表★'!$A$1</f>
        <v>第28回　京阪神和奈滋対抗戦　　　(大阪；玉出エース)</v>
      </c>
      <c r="U191" s="36"/>
      <c r="V191" s="36"/>
      <c r="W191" s="36"/>
      <c r="X191" s="36"/>
      <c r="Y191" s="36"/>
      <c r="Z191" s="37"/>
      <c r="AC191" s="23" t="str">
        <f>'★個人成績表★'!$A$1</f>
        <v>第28回　京阪神和奈滋対抗戦　　　(大阪；玉出エース)</v>
      </c>
      <c r="AD191" s="36"/>
      <c r="AE191" s="36"/>
      <c r="AF191" s="36"/>
      <c r="AG191" s="36"/>
      <c r="AH191" s="36"/>
      <c r="AI191" s="37"/>
      <c r="AL191" s="23" t="str">
        <f>'★個人成績表★'!$A$1</f>
        <v>第28回　京阪神和奈滋対抗戦　　　(大阪；玉出エース)</v>
      </c>
      <c r="AM191" s="36"/>
      <c r="AN191" s="36"/>
      <c r="AO191" s="36"/>
      <c r="AP191" s="36"/>
      <c r="AQ191" s="36"/>
      <c r="AR191" s="37"/>
      <c r="AU191" s="23" t="str">
        <f>'★個人成績表★'!$A$1</f>
        <v>第28回　京阪神和奈滋対抗戦　　　(大阪；玉出エース)</v>
      </c>
      <c r="AV191" s="36"/>
      <c r="AW191" s="36"/>
      <c r="AX191" s="36"/>
      <c r="AY191" s="36"/>
      <c r="AZ191" s="36"/>
      <c r="BA191" s="37"/>
      <c r="BD191" s="23" t="str">
        <f>'★個人成績表★'!$A$1</f>
        <v>第28回　京阪神和奈滋対抗戦　　　(大阪；玉出エース)</v>
      </c>
      <c r="BE191" s="36"/>
      <c r="BF191" s="36"/>
      <c r="BG191" s="36"/>
      <c r="BH191" s="36"/>
      <c r="BI191" s="36"/>
      <c r="BJ191" s="37"/>
      <c r="BL191" t="s">
        <v>33</v>
      </c>
    </row>
    <row r="193" spans="2:61" s="38" customFormat="1" ht="15" customHeight="1">
      <c r="B193" s="22" t="s">
        <v>35</v>
      </c>
      <c r="C193" s="30">
        <f>BE183+1</f>
        <v>127</v>
      </c>
      <c r="F193" s="22" t="s">
        <v>36</v>
      </c>
      <c r="G193" s="30"/>
      <c r="K193" s="22" t="s">
        <v>35</v>
      </c>
      <c r="L193" s="30">
        <f>C193+1</f>
        <v>128</v>
      </c>
      <c r="O193" s="22" t="s">
        <v>36</v>
      </c>
      <c r="P193" s="30"/>
      <c r="T193" s="22" t="s">
        <v>35</v>
      </c>
      <c r="U193" s="30">
        <f>L193+1</f>
        <v>129</v>
      </c>
      <c r="X193" s="22" t="s">
        <v>36</v>
      </c>
      <c r="Y193" s="30"/>
      <c r="AC193" s="22" t="s">
        <v>35</v>
      </c>
      <c r="AD193" s="30">
        <f>U193+1</f>
        <v>130</v>
      </c>
      <c r="AG193" s="22" t="s">
        <v>36</v>
      </c>
      <c r="AH193" s="30"/>
      <c r="AL193" s="22" t="s">
        <v>35</v>
      </c>
      <c r="AM193" s="30">
        <f>AD193+1</f>
        <v>131</v>
      </c>
      <c r="AP193" s="22" t="s">
        <v>36</v>
      </c>
      <c r="AQ193" s="30"/>
      <c r="AU193" s="22" t="s">
        <v>35</v>
      </c>
      <c r="AV193" s="30">
        <f>AM193+1</f>
        <v>132</v>
      </c>
      <c r="AY193" s="22" t="s">
        <v>36</v>
      </c>
      <c r="AZ193" s="30"/>
      <c r="BD193" s="22" t="s">
        <v>35</v>
      </c>
      <c r="BE193" s="30">
        <f>AV193+1</f>
        <v>133</v>
      </c>
      <c r="BH193" s="22" t="s">
        <v>36</v>
      </c>
      <c r="BI193" s="30"/>
    </row>
    <row r="194" ht="15" customHeight="1" thickBot="1"/>
    <row r="195" spans="2:62" ht="31.5" customHeight="1">
      <c r="B195" s="39" t="str">
        <f>VLOOKUP(C193,'結果入力表'!$B$2:$J$212,2,FALSE)</f>
        <v>HRC</v>
      </c>
      <c r="C195" s="40"/>
      <c r="D195" s="41"/>
      <c r="E195" s="42" t="s">
        <v>29</v>
      </c>
      <c r="F195" s="43" t="str">
        <f>VLOOKUP(C193,'結果入力表'!$B$2:$J$212,9,FALSE)</f>
        <v>ORC</v>
      </c>
      <c r="G195" s="40"/>
      <c r="H195" s="44"/>
      <c r="K195" s="39" t="str">
        <f>VLOOKUP(L193,'結果入力表'!$B$2:$J$212,2,FALSE)</f>
        <v>HRC</v>
      </c>
      <c r="L195" s="40"/>
      <c r="M195" s="41"/>
      <c r="N195" s="42" t="s">
        <v>29</v>
      </c>
      <c r="O195" s="43" t="str">
        <f>VLOOKUP(L193,'結果入力表'!$B$2:$J$212,9,FALSE)</f>
        <v>ORC</v>
      </c>
      <c r="P195" s="40"/>
      <c r="Q195" s="44"/>
      <c r="T195" s="39" t="str">
        <f>VLOOKUP(U193,'結果入力表'!$B$2:$J$212,2,FALSE)</f>
        <v>HRC</v>
      </c>
      <c r="U195" s="40"/>
      <c r="V195" s="41"/>
      <c r="W195" s="42" t="s">
        <v>29</v>
      </c>
      <c r="X195" s="43" t="str">
        <f>VLOOKUP(U193,'結果入力表'!$B$2:$J$212,9,FALSE)</f>
        <v>ORC</v>
      </c>
      <c r="Y195" s="40"/>
      <c r="Z195" s="44"/>
      <c r="AC195" s="39" t="str">
        <f>VLOOKUP(AD193,'結果入力表'!$B$2:$J$212,2,FALSE)</f>
        <v>HRC</v>
      </c>
      <c r="AD195" s="40"/>
      <c r="AE195" s="41"/>
      <c r="AF195" s="42" t="s">
        <v>29</v>
      </c>
      <c r="AG195" s="43" t="str">
        <f>VLOOKUP(AD193,'結果入力表'!$B$2:$J$212,9,FALSE)</f>
        <v>ORC</v>
      </c>
      <c r="AH195" s="40"/>
      <c r="AI195" s="44"/>
      <c r="AL195" s="39" t="str">
        <f>VLOOKUP(AM193,'結果入力表'!$B$2:$J$212,2,FALSE)</f>
        <v>HRC</v>
      </c>
      <c r="AM195" s="40"/>
      <c r="AN195" s="41"/>
      <c r="AO195" s="42" t="s">
        <v>29</v>
      </c>
      <c r="AP195" s="43" t="str">
        <f>VLOOKUP(AM193,'結果入力表'!$B$2:$J$212,9,FALSE)</f>
        <v>ORC</v>
      </c>
      <c r="AQ195" s="40"/>
      <c r="AR195" s="44"/>
      <c r="AU195" s="39" t="str">
        <f>VLOOKUP(AV193,'結果入力表'!$B$2:$J$212,2,FALSE)</f>
        <v>HRC</v>
      </c>
      <c r="AV195" s="40"/>
      <c r="AW195" s="41"/>
      <c r="AX195" s="42" t="s">
        <v>29</v>
      </c>
      <c r="AY195" s="43" t="str">
        <f>VLOOKUP(AV193,'結果入力表'!$B$2:$J$212,9,FALSE)</f>
        <v>ORC</v>
      </c>
      <c r="AZ195" s="40"/>
      <c r="BA195" s="44"/>
      <c r="BD195" s="39" t="str">
        <f>VLOOKUP(BE193,'結果入力表'!$B$2:$J$212,2,FALSE)</f>
        <v>HRC</v>
      </c>
      <c r="BE195" s="40"/>
      <c r="BF195" s="41"/>
      <c r="BG195" s="42" t="s">
        <v>29</v>
      </c>
      <c r="BH195" s="43" t="str">
        <f>VLOOKUP(BE193,'結果入力表'!$B$2:$J$212,9,FALSE)</f>
        <v>ORC</v>
      </c>
      <c r="BI195" s="40"/>
      <c r="BJ195" s="44"/>
    </row>
    <row r="196" spans="2:62" ht="46.5" customHeight="1">
      <c r="B196" s="438" t="str">
        <f>VLOOKUP(C193,'結果入力表'!$B$2:$J$212,3,FALSE)</f>
        <v>長井　充</v>
      </c>
      <c r="C196" s="19"/>
      <c r="D196" s="20"/>
      <c r="E196" s="46" t="s">
        <v>30</v>
      </c>
      <c r="F196" s="437" t="str">
        <f>VLOOKUP(C193,'結果入力表'!$B$2:$J$212,8,FALSE)</f>
        <v>吉岡 保俊</v>
      </c>
      <c r="G196" s="19"/>
      <c r="H196" s="48"/>
      <c r="K196" s="438" t="str">
        <f>VLOOKUP(L193,'結果入力表'!$B$2:$J$212,3,FALSE)</f>
        <v>藤中健太郎</v>
      </c>
      <c r="L196" s="19"/>
      <c r="M196" s="20"/>
      <c r="N196" s="46" t="s">
        <v>30</v>
      </c>
      <c r="O196" s="437" t="str">
        <f>VLOOKUP(L193,'結果入力表'!$B$2:$J$212,8,FALSE)</f>
        <v>山田 玄英</v>
      </c>
      <c r="P196" s="19"/>
      <c r="Q196" s="48"/>
      <c r="T196" s="438" t="str">
        <f>VLOOKUP(U193,'結果入力表'!$B$2:$J$212,3,FALSE)</f>
        <v>後藤 勇治</v>
      </c>
      <c r="U196" s="19"/>
      <c r="V196" s="20"/>
      <c r="W196" s="46" t="s">
        <v>30</v>
      </c>
      <c r="X196" s="437" t="str">
        <f>VLOOKUP(U193,'結果入力表'!$B$2:$J$212,8,FALSE)</f>
        <v>由本　拓</v>
      </c>
      <c r="Y196" s="19"/>
      <c r="Z196" s="48"/>
      <c r="AC196" s="438" t="str">
        <f>VLOOKUP(AD193,'結果入力表'!$B$2:$J$212,3,FALSE)</f>
        <v>丹羽 俊也</v>
      </c>
      <c r="AD196" s="19"/>
      <c r="AE196" s="20"/>
      <c r="AF196" s="46" t="s">
        <v>30</v>
      </c>
      <c r="AG196" s="437" t="str">
        <f>VLOOKUP(AD193,'結果入力表'!$B$2:$J$212,8,FALSE)</f>
        <v>田中 隆介</v>
      </c>
      <c r="AH196" s="19"/>
      <c r="AI196" s="48"/>
      <c r="AL196" s="438" t="str">
        <f>VLOOKUP(AM193,'結果入力表'!$B$2:$J$212,3,FALSE)</f>
        <v>平井 洸志</v>
      </c>
      <c r="AM196" s="19"/>
      <c r="AN196" s="20"/>
      <c r="AO196" s="46" t="s">
        <v>30</v>
      </c>
      <c r="AP196" s="437" t="str">
        <f>VLOOKUP(AM193,'結果入力表'!$B$2:$J$212,8,FALSE)</f>
        <v>西田 恵子</v>
      </c>
      <c r="AQ196" s="19"/>
      <c r="AR196" s="48"/>
      <c r="AU196" s="438" t="str">
        <f>VLOOKUP(AV193,'結果入力表'!$B$2:$J$212,3,FALSE)</f>
        <v>栃下 恭子</v>
      </c>
      <c r="AV196" s="19"/>
      <c r="AW196" s="20"/>
      <c r="AX196" s="46" t="s">
        <v>30</v>
      </c>
      <c r="AY196" s="437" t="str">
        <f>VLOOKUP(AV193,'結果入力表'!$B$2:$J$212,8,FALSE)</f>
        <v>村上 泰辰</v>
      </c>
      <c r="AZ196" s="19"/>
      <c r="BA196" s="48"/>
      <c r="BD196" s="438" t="str">
        <f>VLOOKUP(BE193,'結果入力表'!$B$2:$J$212,3,FALSE)</f>
        <v>堂園 雅也</v>
      </c>
      <c r="BE196" s="19"/>
      <c r="BF196" s="20"/>
      <c r="BG196" s="46" t="s">
        <v>30</v>
      </c>
      <c r="BH196" s="437" t="str">
        <f>VLOOKUP(BE193,'結果入力表'!$B$2:$J$212,8,FALSE)</f>
        <v>乾　伸綱</v>
      </c>
      <c r="BI196" s="19"/>
      <c r="BJ196" s="48"/>
    </row>
    <row r="197" spans="2:62" ht="37.5" customHeight="1">
      <c r="B197" s="49"/>
      <c r="C197" s="19"/>
      <c r="D197" s="20"/>
      <c r="E197" s="46" t="s">
        <v>31</v>
      </c>
      <c r="F197" s="50"/>
      <c r="G197" s="19"/>
      <c r="H197" s="48"/>
      <c r="K197" s="49"/>
      <c r="L197" s="19"/>
      <c r="M197" s="20"/>
      <c r="N197" s="46" t="s">
        <v>31</v>
      </c>
      <c r="O197" s="50"/>
      <c r="P197" s="19"/>
      <c r="Q197" s="48"/>
      <c r="T197" s="49"/>
      <c r="U197" s="19"/>
      <c r="V197" s="20"/>
      <c r="W197" s="46" t="s">
        <v>31</v>
      </c>
      <c r="X197" s="50"/>
      <c r="Y197" s="19"/>
      <c r="Z197" s="48"/>
      <c r="AC197" s="49"/>
      <c r="AD197" s="19"/>
      <c r="AE197" s="20"/>
      <c r="AF197" s="46" t="s">
        <v>31</v>
      </c>
      <c r="AG197" s="50"/>
      <c r="AH197" s="19"/>
      <c r="AI197" s="48"/>
      <c r="AL197" s="49"/>
      <c r="AM197" s="19"/>
      <c r="AN197" s="20"/>
      <c r="AO197" s="46" t="s">
        <v>31</v>
      </c>
      <c r="AP197" s="50"/>
      <c r="AQ197" s="19"/>
      <c r="AR197" s="48"/>
      <c r="AU197" s="49"/>
      <c r="AV197" s="19"/>
      <c r="AW197" s="20"/>
      <c r="AX197" s="46" t="s">
        <v>31</v>
      </c>
      <c r="AY197" s="50"/>
      <c r="AZ197" s="19"/>
      <c r="BA197" s="48"/>
      <c r="BD197" s="49"/>
      <c r="BE197" s="19"/>
      <c r="BF197" s="20"/>
      <c r="BG197" s="46" t="s">
        <v>31</v>
      </c>
      <c r="BH197" s="50"/>
      <c r="BI197" s="19"/>
      <c r="BJ197" s="48"/>
    </row>
    <row r="198" spans="2:62" ht="37.5" customHeight="1" thickBot="1">
      <c r="B198" s="51"/>
      <c r="C198" s="52"/>
      <c r="D198" s="53"/>
      <c r="E198" s="54" t="s">
        <v>32</v>
      </c>
      <c r="F198" s="55"/>
      <c r="G198" s="52"/>
      <c r="H198" s="56"/>
      <c r="K198" s="51"/>
      <c r="L198" s="52"/>
      <c r="M198" s="53"/>
      <c r="N198" s="54" t="s">
        <v>32</v>
      </c>
      <c r="O198" s="55"/>
      <c r="P198" s="52"/>
      <c r="Q198" s="56"/>
      <c r="T198" s="51"/>
      <c r="U198" s="52"/>
      <c r="V198" s="53"/>
      <c r="W198" s="54" t="s">
        <v>32</v>
      </c>
      <c r="X198" s="55"/>
      <c r="Y198" s="52"/>
      <c r="Z198" s="56"/>
      <c r="AC198" s="51"/>
      <c r="AD198" s="52"/>
      <c r="AE198" s="53"/>
      <c r="AF198" s="54" t="s">
        <v>32</v>
      </c>
      <c r="AG198" s="55"/>
      <c r="AH198" s="52"/>
      <c r="AI198" s="56"/>
      <c r="AL198" s="51"/>
      <c r="AM198" s="52"/>
      <c r="AN198" s="53"/>
      <c r="AO198" s="54" t="s">
        <v>32</v>
      </c>
      <c r="AP198" s="55"/>
      <c r="AQ198" s="52"/>
      <c r="AR198" s="56"/>
      <c r="AU198" s="51"/>
      <c r="AV198" s="52"/>
      <c r="AW198" s="53"/>
      <c r="AX198" s="54" t="s">
        <v>32</v>
      </c>
      <c r="AY198" s="55"/>
      <c r="AZ198" s="52"/>
      <c r="BA198" s="56"/>
      <c r="BD198" s="51"/>
      <c r="BE198" s="52"/>
      <c r="BF198" s="53"/>
      <c r="BG198" s="54" t="s">
        <v>32</v>
      </c>
      <c r="BH198" s="55"/>
      <c r="BI198" s="52"/>
      <c r="BJ198" s="56"/>
    </row>
    <row r="200" spans="4:62" ht="15" customHeight="1">
      <c r="D200" s="22"/>
      <c r="E200" s="22"/>
      <c r="F200" s="21" t="s">
        <v>37</v>
      </c>
      <c r="G200" s="30"/>
      <c r="H200" s="30"/>
      <c r="M200" s="22"/>
      <c r="N200" s="22"/>
      <c r="O200" s="21" t="s">
        <v>37</v>
      </c>
      <c r="P200" s="30"/>
      <c r="Q200" s="30"/>
      <c r="V200" s="22"/>
      <c r="W200" s="22"/>
      <c r="X200" s="21" t="s">
        <v>37</v>
      </c>
      <c r="Y200" s="30"/>
      <c r="Z200" s="30"/>
      <c r="AE200" s="22"/>
      <c r="AF200" s="22"/>
      <c r="AG200" s="21" t="s">
        <v>37</v>
      </c>
      <c r="AH200" s="30"/>
      <c r="AI200" s="30"/>
      <c r="AN200" s="22"/>
      <c r="AO200" s="22"/>
      <c r="AP200" s="21" t="s">
        <v>37</v>
      </c>
      <c r="AQ200" s="30"/>
      <c r="AR200" s="30"/>
      <c r="AW200" s="22"/>
      <c r="AX200" s="22"/>
      <c r="AY200" s="21" t="s">
        <v>37</v>
      </c>
      <c r="AZ200" s="30"/>
      <c r="BA200" s="30"/>
      <c r="BF200" s="22"/>
      <c r="BG200" s="22"/>
      <c r="BH200" s="21" t="s">
        <v>37</v>
      </c>
      <c r="BI200" s="30"/>
      <c r="BJ200" s="30"/>
    </row>
    <row r="201" spans="2:64" ht="15" customHeight="1">
      <c r="B201" s="23" t="str">
        <f>'★個人成績表★'!$A$1</f>
        <v>第28回　京阪神和奈滋対抗戦　　　(大阪；玉出エース)</v>
      </c>
      <c r="C201" s="36"/>
      <c r="D201" s="36"/>
      <c r="E201" s="36"/>
      <c r="F201" s="36"/>
      <c r="G201" s="36"/>
      <c r="H201" s="37"/>
      <c r="K201" s="23" t="str">
        <f>'★個人成績表★'!$A$1</f>
        <v>第28回　京阪神和奈滋対抗戦　　　(大阪；玉出エース)</v>
      </c>
      <c r="L201" s="36"/>
      <c r="M201" s="36"/>
      <c r="N201" s="36"/>
      <c r="O201" s="36"/>
      <c r="P201" s="36"/>
      <c r="Q201" s="37"/>
      <c r="T201" s="23" t="str">
        <f>'★個人成績表★'!$A$1</f>
        <v>第28回　京阪神和奈滋対抗戦　　　(大阪；玉出エース)</v>
      </c>
      <c r="U201" s="36"/>
      <c r="V201" s="36"/>
      <c r="W201" s="36"/>
      <c r="X201" s="36"/>
      <c r="Y201" s="36"/>
      <c r="Z201" s="37"/>
      <c r="AC201" s="23" t="str">
        <f>'★個人成績表★'!$A$1</f>
        <v>第28回　京阪神和奈滋対抗戦　　　(大阪；玉出エース)</v>
      </c>
      <c r="AD201" s="36"/>
      <c r="AE201" s="36"/>
      <c r="AF201" s="36"/>
      <c r="AG201" s="36"/>
      <c r="AH201" s="36"/>
      <c r="AI201" s="37"/>
      <c r="AL201" s="23" t="str">
        <f>'★個人成績表★'!$A$1</f>
        <v>第28回　京阪神和奈滋対抗戦　　　(大阪；玉出エース)</v>
      </c>
      <c r="AM201" s="36"/>
      <c r="AN201" s="36"/>
      <c r="AO201" s="36"/>
      <c r="AP201" s="36"/>
      <c r="AQ201" s="36"/>
      <c r="AR201" s="37"/>
      <c r="AU201" s="23" t="str">
        <f>'★個人成績表★'!$A$1</f>
        <v>第28回　京阪神和奈滋対抗戦　　　(大阪；玉出エース)</v>
      </c>
      <c r="AV201" s="36"/>
      <c r="AW201" s="36"/>
      <c r="AX201" s="36"/>
      <c r="AY201" s="36"/>
      <c r="AZ201" s="36"/>
      <c r="BA201" s="37"/>
      <c r="BD201" s="23" t="str">
        <f>'★個人成績表★'!$A$1</f>
        <v>第28回　京阪神和奈滋対抗戦　　　(大阪；玉出エース)</v>
      </c>
      <c r="BE201" s="36"/>
      <c r="BF201" s="36"/>
      <c r="BG201" s="36"/>
      <c r="BH201" s="36"/>
      <c r="BI201" s="36"/>
      <c r="BJ201" s="37"/>
      <c r="BL201" t="s">
        <v>33</v>
      </c>
    </row>
    <row r="203" spans="2:61" s="38" customFormat="1" ht="15" customHeight="1">
      <c r="B203" s="22" t="s">
        <v>35</v>
      </c>
      <c r="C203" s="30">
        <f>BE193+1</f>
        <v>134</v>
      </c>
      <c r="F203" s="22" t="s">
        <v>36</v>
      </c>
      <c r="G203" s="30"/>
      <c r="K203" s="22" t="s">
        <v>35</v>
      </c>
      <c r="L203" s="30">
        <f>C203+1</f>
        <v>135</v>
      </c>
      <c r="O203" s="22" t="s">
        <v>36</v>
      </c>
      <c r="P203" s="30"/>
      <c r="T203" s="22" t="s">
        <v>35</v>
      </c>
      <c r="U203" s="30">
        <f>L203+1</f>
        <v>136</v>
      </c>
      <c r="X203" s="22" t="s">
        <v>36</v>
      </c>
      <c r="Y203" s="30"/>
      <c r="AC203" s="22" t="s">
        <v>35</v>
      </c>
      <c r="AD203" s="30">
        <f>U203+1</f>
        <v>137</v>
      </c>
      <c r="AG203" s="22" t="s">
        <v>36</v>
      </c>
      <c r="AH203" s="30"/>
      <c r="AL203" s="22" t="s">
        <v>35</v>
      </c>
      <c r="AM203" s="30">
        <f>AD203+1</f>
        <v>138</v>
      </c>
      <c r="AP203" s="22" t="s">
        <v>36</v>
      </c>
      <c r="AQ203" s="30"/>
      <c r="AU203" s="22" t="s">
        <v>35</v>
      </c>
      <c r="AV203" s="30">
        <f>AM203+1</f>
        <v>139</v>
      </c>
      <c r="AY203" s="22" t="s">
        <v>36</v>
      </c>
      <c r="AZ203" s="30"/>
      <c r="BD203" s="22" t="s">
        <v>35</v>
      </c>
      <c r="BE203" s="30">
        <f>AV203+1</f>
        <v>140</v>
      </c>
      <c r="BH203" s="22" t="s">
        <v>36</v>
      </c>
      <c r="BI203" s="30"/>
    </row>
    <row r="204" ht="15" customHeight="1" thickBot="1"/>
    <row r="205" spans="2:62" ht="31.5" customHeight="1">
      <c r="B205" s="39" t="str">
        <f>VLOOKUP(C203,'結果入力表'!$B$2:$J$212,2,FALSE)</f>
        <v>WRC</v>
      </c>
      <c r="C205" s="40"/>
      <c r="D205" s="41"/>
      <c r="E205" s="42" t="s">
        <v>29</v>
      </c>
      <c r="F205" s="43" t="str">
        <f>VLOOKUP(C203,'結果入力表'!$B$2:$J$212,9,FALSE)</f>
        <v>NRC</v>
      </c>
      <c r="G205" s="40"/>
      <c r="H205" s="44"/>
      <c r="K205" s="39" t="str">
        <f>VLOOKUP(L203,'結果入力表'!$B$2:$J$212,2,FALSE)</f>
        <v>WRC</v>
      </c>
      <c r="L205" s="40"/>
      <c r="M205" s="41"/>
      <c r="N205" s="42" t="s">
        <v>29</v>
      </c>
      <c r="O205" s="43" t="str">
        <f>VLOOKUP(L203,'結果入力表'!$B$2:$J$212,9,FALSE)</f>
        <v>NRC</v>
      </c>
      <c r="P205" s="40"/>
      <c r="Q205" s="44"/>
      <c r="T205" s="39" t="str">
        <f>VLOOKUP(U203,'結果入力表'!$B$2:$J$212,2,FALSE)</f>
        <v>WRC</v>
      </c>
      <c r="U205" s="40"/>
      <c r="V205" s="41"/>
      <c r="W205" s="42" t="s">
        <v>29</v>
      </c>
      <c r="X205" s="43" t="str">
        <f>VLOOKUP(U203,'結果入力表'!$B$2:$J$212,9,FALSE)</f>
        <v>NRC</v>
      </c>
      <c r="Y205" s="40"/>
      <c r="Z205" s="44"/>
      <c r="AC205" s="39" t="str">
        <f>VLOOKUP(AD203,'結果入力表'!$B$2:$J$212,2,FALSE)</f>
        <v>WRC</v>
      </c>
      <c r="AD205" s="40"/>
      <c r="AE205" s="41"/>
      <c r="AF205" s="42" t="s">
        <v>29</v>
      </c>
      <c r="AG205" s="43" t="str">
        <f>VLOOKUP(AD203,'結果入力表'!$B$2:$J$212,9,FALSE)</f>
        <v>NRC</v>
      </c>
      <c r="AH205" s="40"/>
      <c r="AI205" s="44"/>
      <c r="AL205" s="39" t="str">
        <f>VLOOKUP(AM203,'結果入力表'!$B$2:$J$212,2,FALSE)</f>
        <v>WRC</v>
      </c>
      <c r="AM205" s="40"/>
      <c r="AN205" s="41"/>
      <c r="AO205" s="42" t="s">
        <v>29</v>
      </c>
      <c r="AP205" s="43" t="str">
        <f>VLOOKUP(AM203,'結果入力表'!$B$2:$J$212,9,FALSE)</f>
        <v>NRC</v>
      </c>
      <c r="AQ205" s="40"/>
      <c r="AR205" s="44"/>
      <c r="AU205" s="39" t="str">
        <f>VLOOKUP(AV203,'結果入力表'!$B$2:$J$212,2,FALSE)</f>
        <v>WRC</v>
      </c>
      <c r="AV205" s="40"/>
      <c r="AW205" s="41"/>
      <c r="AX205" s="42" t="s">
        <v>29</v>
      </c>
      <c r="AY205" s="43" t="str">
        <f>VLOOKUP(AV203,'結果入力表'!$B$2:$J$212,9,FALSE)</f>
        <v>NRC</v>
      </c>
      <c r="AZ205" s="40"/>
      <c r="BA205" s="44"/>
      <c r="BD205" s="39" t="str">
        <f>VLOOKUP(BE203,'結果入力表'!$B$2:$J$212,2,FALSE)</f>
        <v>WRC</v>
      </c>
      <c r="BE205" s="40"/>
      <c r="BF205" s="41"/>
      <c r="BG205" s="42" t="s">
        <v>29</v>
      </c>
      <c r="BH205" s="43" t="str">
        <f>VLOOKUP(BE203,'結果入力表'!$B$2:$J$212,9,FALSE)</f>
        <v>NRC</v>
      </c>
      <c r="BI205" s="40"/>
      <c r="BJ205" s="44"/>
    </row>
    <row r="206" spans="2:62" ht="46.5" customHeight="1">
      <c r="B206" s="438" t="str">
        <f>VLOOKUP(C203,'結果入力表'!$B$2:$J$212,3,FALSE)</f>
        <v>中本 雅大</v>
      </c>
      <c r="C206" s="19"/>
      <c r="D206" s="20"/>
      <c r="E206" s="46" t="s">
        <v>30</v>
      </c>
      <c r="F206" s="437" t="str">
        <f>VLOOKUP(C203,'結果入力表'!$B$2:$J$212,8,FALSE)</f>
        <v>山田 普之</v>
      </c>
      <c r="G206" s="19"/>
      <c r="H206" s="48"/>
      <c r="K206" s="438" t="str">
        <f>VLOOKUP(L203,'結果入力表'!$B$2:$J$212,3,FALSE)</f>
        <v>松房ゆかり</v>
      </c>
      <c r="L206" s="19"/>
      <c r="M206" s="20"/>
      <c r="N206" s="46" t="s">
        <v>30</v>
      </c>
      <c r="O206" s="437" t="str">
        <f>VLOOKUP(L203,'結果入力表'!$B$2:$J$212,8,FALSE)</f>
        <v>山田 晃司</v>
      </c>
      <c r="P206" s="19"/>
      <c r="Q206" s="48"/>
      <c r="T206" s="438" t="str">
        <f>VLOOKUP(U203,'結果入力表'!$B$2:$J$212,3,FALSE)</f>
        <v>末岡　修</v>
      </c>
      <c r="U206" s="19"/>
      <c r="V206" s="20"/>
      <c r="W206" s="46" t="s">
        <v>30</v>
      </c>
      <c r="X206" s="437" t="str">
        <f>VLOOKUP(U203,'結果入力表'!$B$2:$J$212,8,FALSE)</f>
        <v>長谷川 進</v>
      </c>
      <c r="Y206" s="19"/>
      <c r="Z206" s="48"/>
      <c r="AC206" s="438" t="str">
        <f>VLOOKUP(AD203,'結果入力表'!$B$2:$J$212,3,FALSE)</f>
        <v>杉本 博章</v>
      </c>
      <c r="AD206" s="19"/>
      <c r="AE206" s="20"/>
      <c r="AF206" s="46" t="s">
        <v>30</v>
      </c>
      <c r="AG206" s="437" t="str">
        <f>VLOOKUP(AD203,'結果入力表'!$B$2:$J$212,8,FALSE)</f>
        <v>宮野 早織</v>
      </c>
      <c r="AH206" s="19"/>
      <c r="AI206" s="48"/>
      <c r="AL206" s="438" t="str">
        <f>VLOOKUP(AM203,'結果入力表'!$B$2:$J$212,3,FALSE)</f>
        <v>丹次 力良</v>
      </c>
      <c r="AM206" s="19"/>
      <c r="AN206" s="20"/>
      <c r="AO206" s="46" t="s">
        <v>30</v>
      </c>
      <c r="AP206" s="437" t="str">
        <f>VLOOKUP(AM203,'結果入力表'!$B$2:$J$212,8,FALSE)</f>
        <v>白戸 玲人</v>
      </c>
      <c r="AQ206" s="19"/>
      <c r="AR206" s="48"/>
      <c r="AU206" s="438" t="str">
        <f>VLOOKUP(AV203,'結果入力表'!$B$2:$J$212,3,FALSE)</f>
        <v>芝先 泰生</v>
      </c>
      <c r="AV206" s="19"/>
      <c r="AW206" s="20"/>
      <c r="AX206" s="46" t="s">
        <v>30</v>
      </c>
      <c r="AY206" s="437" t="str">
        <f>VLOOKUP(AV203,'結果入力表'!$B$2:$J$212,8,FALSE)</f>
        <v>近藤 拓馬</v>
      </c>
      <c r="AZ206" s="19"/>
      <c r="BA206" s="48"/>
      <c r="BD206" s="438" t="str">
        <f>VLOOKUP(BE203,'結果入力表'!$B$2:$J$212,3,FALSE)</f>
        <v>岸上 賢一</v>
      </c>
      <c r="BE206" s="19"/>
      <c r="BF206" s="20"/>
      <c r="BG206" s="46" t="s">
        <v>30</v>
      </c>
      <c r="BH206" s="437" t="str">
        <f>VLOOKUP(BE203,'結果入力表'!$B$2:$J$212,8,FALSE)</f>
        <v>吉向 翔平</v>
      </c>
      <c r="BI206" s="19"/>
      <c r="BJ206" s="48"/>
    </row>
    <row r="207" spans="2:62" ht="37.5" customHeight="1">
      <c r="B207" s="49"/>
      <c r="C207" s="19"/>
      <c r="D207" s="20"/>
      <c r="E207" s="46" t="s">
        <v>31</v>
      </c>
      <c r="F207" s="50"/>
      <c r="G207" s="19"/>
      <c r="H207" s="48"/>
      <c r="K207" s="49"/>
      <c r="L207" s="19"/>
      <c r="M207" s="20"/>
      <c r="N207" s="46" t="s">
        <v>31</v>
      </c>
      <c r="O207" s="50"/>
      <c r="P207" s="19"/>
      <c r="Q207" s="48"/>
      <c r="T207" s="49"/>
      <c r="U207" s="19"/>
      <c r="V207" s="20"/>
      <c r="W207" s="46" t="s">
        <v>31</v>
      </c>
      <c r="X207" s="50"/>
      <c r="Y207" s="19"/>
      <c r="Z207" s="48"/>
      <c r="AC207" s="49"/>
      <c r="AD207" s="19"/>
      <c r="AE207" s="20"/>
      <c r="AF207" s="46" t="s">
        <v>31</v>
      </c>
      <c r="AG207" s="50"/>
      <c r="AH207" s="19"/>
      <c r="AI207" s="48"/>
      <c r="AL207" s="49"/>
      <c r="AM207" s="19"/>
      <c r="AN207" s="20"/>
      <c r="AO207" s="46" t="s">
        <v>31</v>
      </c>
      <c r="AP207" s="50"/>
      <c r="AQ207" s="19"/>
      <c r="AR207" s="48"/>
      <c r="AU207" s="49"/>
      <c r="AV207" s="19"/>
      <c r="AW207" s="20"/>
      <c r="AX207" s="46" t="s">
        <v>31</v>
      </c>
      <c r="AY207" s="50"/>
      <c r="AZ207" s="19"/>
      <c r="BA207" s="48"/>
      <c r="BD207" s="49"/>
      <c r="BE207" s="19"/>
      <c r="BF207" s="20"/>
      <c r="BG207" s="46" t="s">
        <v>31</v>
      </c>
      <c r="BH207" s="50"/>
      <c r="BI207" s="19"/>
      <c r="BJ207" s="48"/>
    </row>
    <row r="208" spans="2:62" ht="37.5" customHeight="1" thickBot="1">
      <c r="B208" s="51"/>
      <c r="C208" s="52"/>
      <c r="D208" s="53"/>
      <c r="E208" s="54" t="s">
        <v>32</v>
      </c>
      <c r="F208" s="55"/>
      <c r="G208" s="52"/>
      <c r="H208" s="56"/>
      <c r="K208" s="51"/>
      <c r="L208" s="52"/>
      <c r="M208" s="53"/>
      <c r="N208" s="54" t="s">
        <v>32</v>
      </c>
      <c r="O208" s="55"/>
      <c r="P208" s="52"/>
      <c r="Q208" s="56"/>
      <c r="T208" s="51"/>
      <c r="U208" s="52"/>
      <c r="V208" s="53"/>
      <c r="W208" s="54" t="s">
        <v>32</v>
      </c>
      <c r="X208" s="55"/>
      <c r="Y208" s="52"/>
      <c r="Z208" s="56"/>
      <c r="AC208" s="51"/>
      <c r="AD208" s="52"/>
      <c r="AE208" s="53"/>
      <c r="AF208" s="54" t="s">
        <v>32</v>
      </c>
      <c r="AG208" s="55"/>
      <c r="AH208" s="52"/>
      <c r="AI208" s="56"/>
      <c r="AL208" s="51"/>
      <c r="AM208" s="52"/>
      <c r="AN208" s="53"/>
      <c r="AO208" s="54" t="s">
        <v>32</v>
      </c>
      <c r="AP208" s="55"/>
      <c r="AQ208" s="52"/>
      <c r="AR208" s="56"/>
      <c r="AU208" s="51"/>
      <c r="AV208" s="52"/>
      <c r="AW208" s="53"/>
      <c r="AX208" s="54" t="s">
        <v>32</v>
      </c>
      <c r="AY208" s="55"/>
      <c r="AZ208" s="52"/>
      <c r="BA208" s="56"/>
      <c r="BD208" s="51"/>
      <c r="BE208" s="52"/>
      <c r="BF208" s="53"/>
      <c r="BG208" s="54" t="s">
        <v>32</v>
      </c>
      <c r="BH208" s="55"/>
      <c r="BI208" s="52"/>
      <c r="BJ208" s="56"/>
    </row>
    <row r="210" spans="4:62" ht="15" customHeight="1">
      <c r="D210" s="22"/>
      <c r="E210" s="22"/>
      <c r="F210" s="21" t="s">
        <v>37</v>
      </c>
      <c r="G210" s="30"/>
      <c r="H210" s="30"/>
      <c r="M210" s="22"/>
      <c r="N210" s="22"/>
      <c r="O210" s="21" t="s">
        <v>37</v>
      </c>
      <c r="P210" s="30"/>
      <c r="Q210" s="30"/>
      <c r="V210" s="22"/>
      <c r="W210" s="22"/>
      <c r="X210" s="21" t="s">
        <v>37</v>
      </c>
      <c r="Y210" s="30"/>
      <c r="Z210" s="30"/>
      <c r="AE210" s="22"/>
      <c r="AF210" s="22"/>
      <c r="AG210" s="21" t="s">
        <v>37</v>
      </c>
      <c r="AH210" s="30"/>
      <c r="AI210" s="30"/>
      <c r="AN210" s="22"/>
      <c r="AO210" s="22"/>
      <c r="AP210" s="21" t="s">
        <v>37</v>
      </c>
      <c r="AQ210" s="30"/>
      <c r="AR210" s="30"/>
      <c r="AW210" s="22"/>
      <c r="AX210" s="22"/>
      <c r="AY210" s="21" t="s">
        <v>37</v>
      </c>
      <c r="AZ210" s="30"/>
      <c r="BA210" s="30"/>
      <c r="BF210" s="22"/>
      <c r="BG210" s="22"/>
      <c r="BH210" s="21" t="s">
        <v>37</v>
      </c>
      <c r="BI210" s="30"/>
      <c r="BJ210" s="30"/>
    </row>
    <row r="211" spans="2:64" ht="15" customHeight="1">
      <c r="B211" s="23" t="str">
        <f>'★個人成績表★'!$A$1</f>
        <v>第28回　京阪神和奈滋対抗戦　　　(大阪；玉出エース)</v>
      </c>
      <c r="C211" s="36"/>
      <c r="D211" s="36"/>
      <c r="E211" s="36"/>
      <c r="F211" s="36"/>
      <c r="G211" s="36"/>
      <c r="H211" s="37"/>
      <c r="K211" s="23" t="str">
        <f>'★個人成績表★'!$A$1</f>
        <v>第28回　京阪神和奈滋対抗戦　　　(大阪；玉出エース)</v>
      </c>
      <c r="L211" s="36"/>
      <c r="M211" s="36"/>
      <c r="N211" s="36"/>
      <c r="O211" s="36"/>
      <c r="P211" s="36"/>
      <c r="Q211" s="37"/>
      <c r="T211" s="23" t="str">
        <f>'★個人成績表★'!$A$1</f>
        <v>第28回　京阪神和奈滋対抗戦　　　(大阪；玉出エース)</v>
      </c>
      <c r="U211" s="36"/>
      <c r="V211" s="36"/>
      <c r="W211" s="36"/>
      <c r="X211" s="36"/>
      <c r="Y211" s="36"/>
      <c r="Z211" s="37"/>
      <c r="AC211" s="23" t="str">
        <f>'★個人成績表★'!$A$1</f>
        <v>第28回　京阪神和奈滋対抗戦　　　(大阪；玉出エース)</v>
      </c>
      <c r="AD211" s="36"/>
      <c r="AE211" s="36"/>
      <c r="AF211" s="36"/>
      <c r="AG211" s="36"/>
      <c r="AH211" s="36"/>
      <c r="AI211" s="37"/>
      <c r="AL211" s="23" t="str">
        <f>'★個人成績表★'!$A$1</f>
        <v>第28回　京阪神和奈滋対抗戦　　　(大阪；玉出エース)</v>
      </c>
      <c r="AM211" s="36"/>
      <c r="AN211" s="36"/>
      <c r="AO211" s="36"/>
      <c r="AP211" s="36"/>
      <c r="AQ211" s="36"/>
      <c r="AR211" s="37"/>
      <c r="AU211" s="23" t="str">
        <f>'★個人成績表★'!$A$1</f>
        <v>第28回　京阪神和奈滋対抗戦　　　(大阪；玉出エース)</v>
      </c>
      <c r="AV211" s="36"/>
      <c r="AW211" s="36"/>
      <c r="AX211" s="36"/>
      <c r="AY211" s="36"/>
      <c r="AZ211" s="36"/>
      <c r="BA211" s="37"/>
      <c r="BD211" s="23" t="str">
        <f>'★個人成績表★'!$A$1</f>
        <v>第28回　京阪神和奈滋対抗戦　　　(大阪；玉出エース)</v>
      </c>
      <c r="BE211" s="36"/>
      <c r="BF211" s="36"/>
      <c r="BG211" s="36"/>
      <c r="BH211" s="36"/>
      <c r="BI211" s="36"/>
      <c r="BJ211" s="37"/>
      <c r="BL211" t="s">
        <v>33</v>
      </c>
    </row>
    <row r="213" spans="2:61" s="38" customFormat="1" ht="15" customHeight="1">
      <c r="B213" s="22" t="s">
        <v>35</v>
      </c>
      <c r="C213" s="30">
        <f>BE203+1</f>
        <v>141</v>
      </c>
      <c r="F213" s="22" t="s">
        <v>36</v>
      </c>
      <c r="G213" s="30"/>
      <c r="K213" s="22" t="s">
        <v>35</v>
      </c>
      <c r="L213" s="30">
        <f>C213+1</f>
        <v>142</v>
      </c>
      <c r="O213" s="22" t="s">
        <v>36</v>
      </c>
      <c r="P213" s="30"/>
      <c r="T213" s="22" t="s">
        <v>35</v>
      </c>
      <c r="U213" s="30">
        <f>L213+1</f>
        <v>143</v>
      </c>
      <c r="X213" s="22" t="s">
        <v>36</v>
      </c>
      <c r="Y213" s="30"/>
      <c r="AC213" s="22" t="s">
        <v>35</v>
      </c>
      <c r="AD213" s="30">
        <f>U213+1</f>
        <v>144</v>
      </c>
      <c r="AG213" s="22" t="s">
        <v>36</v>
      </c>
      <c r="AH213" s="30"/>
      <c r="AL213" s="22" t="s">
        <v>35</v>
      </c>
      <c r="AM213" s="30">
        <f>AD213+1</f>
        <v>145</v>
      </c>
      <c r="AP213" s="22" t="s">
        <v>36</v>
      </c>
      <c r="AQ213" s="30"/>
      <c r="AU213" s="22" t="s">
        <v>35</v>
      </c>
      <c r="AV213" s="30">
        <f>AM213+1</f>
        <v>146</v>
      </c>
      <c r="AY213" s="22" t="s">
        <v>36</v>
      </c>
      <c r="AZ213" s="30"/>
      <c r="BD213" s="22" t="s">
        <v>35</v>
      </c>
      <c r="BE213" s="30">
        <f>AV213+1</f>
        <v>147</v>
      </c>
      <c r="BH213" s="22" t="s">
        <v>36</v>
      </c>
      <c r="BI213" s="30"/>
    </row>
    <row r="214" ht="15" customHeight="1" thickBot="1"/>
    <row r="215" spans="2:62" ht="31.5" customHeight="1">
      <c r="B215" s="39" t="str">
        <f>VLOOKUP(C213,'結果入力表'!$B$2:$J$212,2,FALSE)</f>
        <v>KRC</v>
      </c>
      <c r="C215" s="40"/>
      <c r="D215" s="41"/>
      <c r="E215" s="42" t="s">
        <v>29</v>
      </c>
      <c r="F215" s="43" t="str">
        <f>VLOOKUP(C213,'結果入力表'!$B$2:$J$212,9,FALSE)</f>
        <v>SBC</v>
      </c>
      <c r="G215" s="40"/>
      <c r="H215" s="44"/>
      <c r="K215" s="39" t="str">
        <f>VLOOKUP(L213,'結果入力表'!$B$2:$J$212,2,FALSE)</f>
        <v>KRC</v>
      </c>
      <c r="L215" s="40"/>
      <c r="M215" s="41"/>
      <c r="N215" s="42" t="s">
        <v>29</v>
      </c>
      <c r="O215" s="43" t="str">
        <f>VLOOKUP(L213,'結果入力表'!$B$2:$J$212,9,FALSE)</f>
        <v>SBC</v>
      </c>
      <c r="P215" s="40"/>
      <c r="Q215" s="44"/>
      <c r="T215" s="39" t="str">
        <f>VLOOKUP(U213,'結果入力表'!$B$2:$J$212,2,FALSE)</f>
        <v>KRC</v>
      </c>
      <c r="U215" s="40"/>
      <c r="V215" s="41"/>
      <c r="W215" s="42" t="s">
        <v>29</v>
      </c>
      <c r="X215" s="43" t="str">
        <f>VLOOKUP(U213,'結果入力表'!$B$2:$J$212,9,FALSE)</f>
        <v>SBC</v>
      </c>
      <c r="Y215" s="40"/>
      <c r="Z215" s="44"/>
      <c r="AC215" s="39" t="str">
        <f>VLOOKUP(AD213,'結果入力表'!$B$2:$J$212,2,FALSE)</f>
        <v>KRC</v>
      </c>
      <c r="AD215" s="40"/>
      <c r="AE215" s="41"/>
      <c r="AF215" s="42" t="s">
        <v>29</v>
      </c>
      <c r="AG215" s="43" t="str">
        <f>VLOOKUP(AD213,'結果入力表'!$B$2:$J$212,9,FALSE)</f>
        <v>SBC</v>
      </c>
      <c r="AH215" s="40"/>
      <c r="AI215" s="44"/>
      <c r="AL215" s="39" t="str">
        <f>VLOOKUP(AM213,'結果入力表'!$B$2:$J$212,2,FALSE)</f>
        <v>KRC</v>
      </c>
      <c r="AM215" s="40"/>
      <c r="AN215" s="41"/>
      <c r="AO215" s="42" t="s">
        <v>29</v>
      </c>
      <c r="AP215" s="43" t="str">
        <f>VLOOKUP(AM213,'結果入力表'!$B$2:$J$212,9,FALSE)</f>
        <v>SBC</v>
      </c>
      <c r="AQ215" s="40"/>
      <c r="AR215" s="44"/>
      <c r="AU215" s="39" t="str">
        <f>VLOOKUP(AV213,'結果入力表'!$B$2:$J$212,2,FALSE)</f>
        <v>KRC</v>
      </c>
      <c r="AV215" s="40"/>
      <c r="AW215" s="41"/>
      <c r="AX215" s="42" t="s">
        <v>29</v>
      </c>
      <c r="AY215" s="43" t="str">
        <f>VLOOKUP(AV213,'結果入力表'!$B$2:$J$212,9,FALSE)</f>
        <v>SBC</v>
      </c>
      <c r="AZ215" s="40"/>
      <c r="BA215" s="44"/>
      <c r="BD215" s="39" t="str">
        <f>VLOOKUP(BE213,'結果入力表'!$B$2:$J$212,2,FALSE)</f>
        <v>KRC</v>
      </c>
      <c r="BE215" s="40"/>
      <c r="BF215" s="41"/>
      <c r="BG215" s="42" t="s">
        <v>29</v>
      </c>
      <c r="BH215" s="43" t="str">
        <f>VLOOKUP(BE213,'結果入力表'!$B$2:$J$212,9,FALSE)</f>
        <v>SBC</v>
      </c>
      <c r="BI215" s="40"/>
      <c r="BJ215" s="44"/>
    </row>
    <row r="216" spans="2:62" ht="46.5" customHeight="1">
      <c r="B216" s="438" t="str">
        <f>VLOOKUP(C213,'結果入力表'!$B$2:$J$212,3,FALSE)</f>
        <v>折戸 和幸</v>
      </c>
      <c r="C216" s="19"/>
      <c r="D216" s="20"/>
      <c r="E216" s="46" t="s">
        <v>30</v>
      </c>
      <c r="F216" s="437" t="str">
        <f>VLOOKUP(C213,'結果入力表'!$B$2:$J$212,8,FALSE)</f>
        <v>高島 太一</v>
      </c>
      <c r="G216" s="19"/>
      <c r="H216" s="48"/>
      <c r="K216" s="438" t="str">
        <f>VLOOKUP(L213,'結果入力表'!$B$2:$J$212,3,FALSE)</f>
        <v>今村 哲也</v>
      </c>
      <c r="L216" s="19"/>
      <c r="M216" s="20"/>
      <c r="N216" s="46" t="s">
        <v>30</v>
      </c>
      <c r="O216" s="437" t="str">
        <f>VLOOKUP(L213,'結果入力表'!$B$2:$J$212,8,FALSE)</f>
        <v>須藤 浩章</v>
      </c>
      <c r="P216" s="19"/>
      <c r="Q216" s="48"/>
      <c r="T216" s="438" t="str">
        <f>VLOOKUP(U213,'結果入力表'!$B$2:$J$212,3,FALSE)</f>
        <v>小山 久博</v>
      </c>
      <c r="U216" s="19"/>
      <c r="V216" s="20"/>
      <c r="W216" s="46" t="s">
        <v>30</v>
      </c>
      <c r="X216" s="437" t="str">
        <f>VLOOKUP(U213,'結果入力表'!$B$2:$J$212,8,FALSE)</f>
        <v>酒井 美希</v>
      </c>
      <c r="Y216" s="19"/>
      <c r="Z216" s="48"/>
      <c r="AC216" s="438" t="str">
        <f>VLOOKUP(AD213,'結果入力表'!$B$2:$J$212,3,FALSE)</f>
        <v>伊庭 保久</v>
      </c>
      <c r="AD216" s="19"/>
      <c r="AE216" s="20"/>
      <c r="AF216" s="46" t="s">
        <v>30</v>
      </c>
      <c r="AG216" s="437" t="str">
        <f>VLOOKUP(AD213,'結果入力表'!$B$2:$J$212,8,FALSE)</f>
        <v>西峰 久祐</v>
      </c>
      <c r="AH216" s="19"/>
      <c r="AI216" s="48"/>
      <c r="AL216" s="438" t="str">
        <f>VLOOKUP(AM213,'結果入力表'!$B$2:$J$212,3,FALSE)</f>
        <v>菊池 靖正</v>
      </c>
      <c r="AM216" s="19"/>
      <c r="AN216" s="20"/>
      <c r="AO216" s="46" t="s">
        <v>30</v>
      </c>
      <c r="AP216" s="437" t="str">
        <f>VLOOKUP(AM213,'結果入力表'!$B$2:$J$212,8,FALSE)</f>
        <v>長田 智紀</v>
      </c>
      <c r="AQ216" s="19"/>
      <c r="AR216" s="48"/>
      <c r="AU216" s="438" t="str">
        <f>VLOOKUP(AV213,'結果入力表'!$B$2:$J$212,3,FALSE)</f>
        <v>田附 裕次</v>
      </c>
      <c r="AV216" s="19"/>
      <c r="AW216" s="20"/>
      <c r="AX216" s="46" t="s">
        <v>30</v>
      </c>
      <c r="AY216" s="437" t="str">
        <f>VLOOKUP(AV213,'結果入力表'!$B$2:$J$212,8,FALSE)</f>
        <v>大橋 義治</v>
      </c>
      <c r="AZ216" s="19"/>
      <c r="BA216" s="48"/>
      <c r="BD216" s="438" t="str">
        <f>VLOOKUP(BE213,'結果入力表'!$B$2:$J$212,3,FALSE)</f>
        <v>森田由佳里</v>
      </c>
      <c r="BE216" s="19"/>
      <c r="BF216" s="20"/>
      <c r="BG216" s="46" t="s">
        <v>30</v>
      </c>
      <c r="BH216" s="437" t="str">
        <f>VLOOKUP(BE213,'結果入力表'!$B$2:$J$212,8,FALSE)</f>
        <v>山中 康寛</v>
      </c>
      <c r="BI216" s="19"/>
      <c r="BJ216" s="48"/>
    </row>
    <row r="217" spans="2:62" ht="37.5" customHeight="1">
      <c r="B217" s="49"/>
      <c r="C217" s="19"/>
      <c r="D217" s="20"/>
      <c r="E217" s="46" t="s">
        <v>31</v>
      </c>
      <c r="F217" s="50"/>
      <c r="G217" s="19"/>
      <c r="H217" s="48"/>
      <c r="K217" s="49"/>
      <c r="L217" s="19"/>
      <c r="M217" s="20"/>
      <c r="N217" s="46" t="s">
        <v>31</v>
      </c>
      <c r="O217" s="50"/>
      <c r="P217" s="19"/>
      <c r="Q217" s="48"/>
      <c r="T217" s="49"/>
      <c r="U217" s="19"/>
      <c r="V217" s="20"/>
      <c r="W217" s="46" t="s">
        <v>31</v>
      </c>
      <c r="X217" s="50"/>
      <c r="Y217" s="19"/>
      <c r="Z217" s="48"/>
      <c r="AC217" s="49"/>
      <c r="AD217" s="19"/>
      <c r="AE217" s="20"/>
      <c r="AF217" s="46" t="s">
        <v>31</v>
      </c>
      <c r="AG217" s="50"/>
      <c r="AH217" s="19"/>
      <c r="AI217" s="48"/>
      <c r="AL217" s="49"/>
      <c r="AM217" s="19"/>
      <c r="AN217" s="20"/>
      <c r="AO217" s="46" t="s">
        <v>31</v>
      </c>
      <c r="AP217" s="50"/>
      <c r="AQ217" s="19"/>
      <c r="AR217" s="48"/>
      <c r="AU217" s="49"/>
      <c r="AV217" s="19"/>
      <c r="AW217" s="20"/>
      <c r="AX217" s="46" t="s">
        <v>31</v>
      </c>
      <c r="AY217" s="50"/>
      <c r="AZ217" s="19"/>
      <c r="BA217" s="48"/>
      <c r="BD217" s="49"/>
      <c r="BE217" s="19"/>
      <c r="BF217" s="20"/>
      <c r="BG217" s="46" t="s">
        <v>31</v>
      </c>
      <c r="BH217" s="50"/>
      <c r="BI217" s="19"/>
      <c r="BJ217" s="48"/>
    </row>
    <row r="218" spans="2:62" ht="37.5" customHeight="1" thickBot="1">
      <c r="B218" s="51"/>
      <c r="C218" s="52"/>
      <c r="D218" s="53"/>
      <c r="E218" s="54" t="s">
        <v>32</v>
      </c>
      <c r="F218" s="55"/>
      <c r="G218" s="52"/>
      <c r="H218" s="56"/>
      <c r="K218" s="51"/>
      <c r="L218" s="52"/>
      <c r="M218" s="53"/>
      <c r="N218" s="54" t="s">
        <v>32</v>
      </c>
      <c r="O218" s="55"/>
      <c r="P218" s="52"/>
      <c r="Q218" s="56"/>
      <c r="T218" s="51"/>
      <c r="U218" s="52"/>
      <c r="V218" s="53"/>
      <c r="W218" s="54" t="s">
        <v>32</v>
      </c>
      <c r="X218" s="55"/>
      <c r="Y218" s="52"/>
      <c r="Z218" s="56"/>
      <c r="AC218" s="51"/>
      <c r="AD218" s="52"/>
      <c r="AE218" s="53"/>
      <c r="AF218" s="54" t="s">
        <v>32</v>
      </c>
      <c r="AG218" s="55"/>
      <c r="AH218" s="52"/>
      <c r="AI218" s="56"/>
      <c r="AL218" s="51"/>
      <c r="AM218" s="52"/>
      <c r="AN218" s="53"/>
      <c r="AO218" s="54" t="s">
        <v>32</v>
      </c>
      <c r="AP218" s="55"/>
      <c r="AQ218" s="52"/>
      <c r="AR218" s="56"/>
      <c r="AU218" s="51"/>
      <c r="AV218" s="52"/>
      <c r="AW218" s="53"/>
      <c r="AX218" s="54" t="s">
        <v>32</v>
      </c>
      <c r="AY218" s="55"/>
      <c r="AZ218" s="52"/>
      <c r="BA218" s="56"/>
      <c r="BD218" s="51"/>
      <c r="BE218" s="52"/>
      <c r="BF218" s="53"/>
      <c r="BG218" s="54" t="s">
        <v>32</v>
      </c>
      <c r="BH218" s="55"/>
      <c r="BI218" s="52"/>
      <c r="BJ218" s="56"/>
    </row>
    <row r="220" spans="4:62" ht="15" customHeight="1">
      <c r="D220" s="22"/>
      <c r="E220" s="22"/>
      <c r="F220" s="21" t="s">
        <v>37</v>
      </c>
      <c r="G220" s="30"/>
      <c r="H220" s="30"/>
      <c r="M220" s="22"/>
      <c r="N220" s="22"/>
      <c r="O220" s="21" t="s">
        <v>37</v>
      </c>
      <c r="P220" s="30"/>
      <c r="Q220" s="30"/>
      <c r="V220" s="22"/>
      <c r="W220" s="22"/>
      <c r="X220" s="21" t="s">
        <v>37</v>
      </c>
      <c r="Y220" s="30"/>
      <c r="Z220" s="30"/>
      <c r="AE220" s="22"/>
      <c r="AF220" s="22"/>
      <c r="AG220" s="21" t="s">
        <v>37</v>
      </c>
      <c r="AH220" s="30"/>
      <c r="AI220" s="30"/>
      <c r="AN220" s="22"/>
      <c r="AO220" s="22"/>
      <c r="AP220" s="21" t="s">
        <v>37</v>
      </c>
      <c r="AQ220" s="30"/>
      <c r="AR220" s="30"/>
      <c r="AW220" s="22"/>
      <c r="AX220" s="22"/>
      <c r="AY220" s="21" t="s">
        <v>37</v>
      </c>
      <c r="AZ220" s="30"/>
      <c r="BA220" s="30"/>
      <c r="BF220" s="22"/>
      <c r="BG220" s="22"/>
      <c r="BH220" s="21" t="s">
        <v>37</v>
      </c>
      <c r="BI220" s="30"/>
      <c r="BJ220" s="30"/>
    </row>
    <row r="221" spans="2:64" ht="15" customHeight="1">
      <c r="B221" s="23" t="str">
        <f>'★個人成績表★'!$A$1</f>
        <v>第28回　京阪神和奈滋対抗戦　　　(大阪；玉出エース)</v>
      </c>
      <c r="C221" s="36"/>
      <c r="D221" s="36"/>
      <c r="E221" s="36"/>
      <c r="F221" s="36"/>
      <c r="G221" s="36"/>
      <c r="H221" s="37"/>
      <c r="K221" s="23" t="str">
        <f>'★個人成績表★'!$A$1</f>
        <v>第28回　京阪神和奈滋対抗戦　　　(大阪；玉出エース)</v>
      </c>
      <c r="L221" s="36"/>
      <c r="M221" s="36"/>
      <c r="N221" s="36"/>
      <c r="O221" s="36"/>
      <c r="P221" s="36"/>
      <c r="Q221" s="37"/>
      <c r="T221" s="23" t="str">
        <f>'★個人成績表★'!$A$1</f>
        <v>第28回　京阪神和奈滋対抗戦　　　(大阪；玉出エース)</v>
      </c>
      <c r="U221" s="36"/>
      <c r="V221" s="36"/>
      <c r="W221" s="36"/>
      <c r="X221" s="36"/>
      <c r="Y221" s="36"/>
      <c r="Z221" s="37"/>
      <c r="AC221" s="23" t="str">
        <f>'★個人成績表★'!$A$1</f>
        <v>第28回　京阪神和奈滋対抗戦　　　(大阪；玉出エース)</v>
      </c>
      <c r="AD221" s="36"/>
      <c r="AE221" s="36"/>
      <c r="AF221" s="36"/>
      <c r="AG221" s="36"/>
      <c r="AH221" s="36"/>
      <c r="AI221" s="37"/>
      <c r="AL221" s="23" t="str">
        <f>'★個人成績表★'!$A$1</f>
        <v>第28回　京阪神和奈滋対抗戦　　　(大阪；玉出エース)</v>
      </c>
      <c r="AM221" s="36"/>
      <c r="AN221" s="36"/>
      <c r="AO221" s="36"/>
      <c r="AP221" s="36"/>
      <c r="AQ221" s="36"/>
      <c r="AR221" s="37"/>
      <c r="AU221" s="23" t="str">
        <f>'★個人成績表★'!$A$1</f>
        <v>第28回　京阪神和奈滋対抗戦　　　(大阪；玉出エース)</v>
      </c>
      <c r="AV221" s="36"/>
      <c r="AW221" s="36"/>
      <c r="AX221" s="36"/>
      <c r="AY221" s="36"/>
      <c r="AZ221" s="36"/>
      <c r="BA221" s="37"/>
      <c r="BD221" s="23" t="str">
        <f>'★個人成績表★'!$A$1</f>
        <v>第28回　京阪神和奈滋対抗戦　　　(大阪；玉出エース)</v>
      </c>
      <c r="BE221" s="36"/>
      <c r="BF221" s="36"/>
      <c r="BG221" s="36"/>
      <c r="BH221" s="36"/>
      <c r="BI221" s="36"/>
      <c r="BJ221" s="37"/>
      <c r="BL221" t="s">
        <v>33</v>
      </c>
    </row>
    <row r="223" spans="2:61" s="38" customFormat="1" ht="15" customHeight="1">
      <c r="B223" s="22" t="s">
        <v>35</v>
      </c>
      <c r="C223" s="30">
        <f>BE213+1</f>
        <v>148</v>
      </c>
      <c r="F223" s="22" t="s">
        <v>36</v>
      </c>
      <c r="G223" s="30"/>
      <c r="K223" s="22" t="s">
        <v>35</v>
      </c>
      <c r="L223" s="30">
        <f>C223+1</f>
        <v>149</v>
      </c>
      <c r="O223" s="22" t="s">
        <v>36</v>
      </c>
      <c r="P223" s="30"/>
      <c r="T223" s="22" t="s">
        <v>35</v>
      </c>
      <c r="U223" s="30">
        <f>L223+1</f>
        <v>150</v>
      </c>
      <c r="X223" s="22" t="s">
        <v>36</v>
      </c>
      <c r="Y223" s="30"/>
      <c r="AC223" s="22" t="s">
        <v>35</v>
      </c>
      <c r="AD223" s="30">
        <f>U223+1</f>
        <v>151</v>
      </c>
      <c r="AG223" s="22" t="s">
        <v>36</v>
      </c>
      <c r="AH223" s="30"/>
      <c r="AL223" s="22" t="s">
        <v>35</v>
      </c>
      <c r="AM223" s="30">
        <f>AD223+1</f>
        <v>152</v>
      </c>
      <c r="AP223" s="22" t="s">
        <v>36</v>
      </c>
      <c r="AQ223" s="30"/>
      <c r="AU223" s="22" t="s">
        <v>35</v>
      </c>
      <c r="AV223" s="30">
        <f>AM223+1</f>
        <v>153</v>
      </c>
      <c r="AY223" s="22" t="s">
        <v>36</v>
      </c>
      <c r="AZ223" s="30"/>
      <c r="BD223" s="22" t="s">
        <v>35</v>
      </c>
      <c r="BE223" s="30">
        <f>AV223+1</f>
        <v>154</v>
      </c>
      <c r="BH223" s="22" t="s">
        <v>36</v>
      </c>
      <c r="BI223" s="30"/>
    </row>
    <row r="224" ht="15" customHeight="1" thickBot="1"/>
    <row r="225" spans="2:62" ht="31.5" customHeight="1">
      <c r="B225" s="39" t="str">
        <f>VLOOKUP(C223,'結果入力表'!$B$2:$J$212,2,FALSE)</f>
        <v>WRC</v>
      </c>
      <c r="C225" s="40"/>
      <c r="D225" s="41"/>
      <c r="E225" s="42" t="s">
        <v>29</v>
      </c>
      <c r="F225" s="43" t="str">
        <f>VLOOKUP(C223,'結果入力表'!$B$2:$J$212,9,FALSE)</f>
        <v>HRC</v>
      </c>
      <c r="G225" s="40"/>
      <c r="H225" s="44"/>
      <c r="K225" s="39" t="str">
        <f>VLOOKUP(L223,'結果入力表'!$B$2:$J$212,2,FALSE)</f>
        <v>WRC</v>
      </c>
      <c r="L225" s="40"/>
      <c r="M225" s="41"/>
      <c r="N225" s="42" t="s">
        <v>29</v>
      </c>
      <c r="O225" s="43" t="str">
        <f>VLOOKUP(L223,'結果入力表'!$B$2:$J$212,9,FALSE)</f>
        <v>HRC</v>
      </c>
      <c r="P225" s="40"/>
      <c r="Q225" s="44"/>
      <c r="T225" s="39" t="str">
        <f>VLOOKUP(U223,'結果入力表'!$B$2:$J$212,2,FALSE)</f>
        <v>WRC</v>
      </c>
      <c r="U225" s="40"/>
      <c r="V225" s="41"/>
      <c r="W225" s="42" t="s">
        <v>29</v>
      </c>
      <c r="X225" s="43" t="str">
        <f>VLOOKUP(U223,'結果入力表'!$B$2:$J$212,9,FALSE)</f>
        <v>HRC</v>
      </c>
      <c r="Y225" s="40"/>
      <c r="Z225" s="44"/>
      <c r="AC225" s="39" t="str">
        <f>VLOOKUP(AD223,'結果入力表'!$B$2:$J$212,2,FALSE)</f>
        <v>WRC</v>
      </c>
      <c r="AD225" s="40"/>
      <c r="AE225" s="41"/>
      <c r="AF225" s="42" t="s">
        <v>29</v>
      </c>
      <c r="AG225" s="43" t="str">
        <f>VLOOKUP(AD223,'結果入力表'!$B$2:$J$212,9,FALSE)</f>
        <v>HRC</v>
      </c>
      <c r="AH225" s="40"/>
      <c r="AI225" s="44"/>
      <c r="AL225" s="39" t="str">
        <f>VLOOKUP(AM223,'結果入力表'!$B$2:$J$212,2,FALSE)</f>
        <v>WRC</v>
      </c>
      <c r="AM225" s="40"/>
      <c r="AN225" s="41"/>
      <c r="AO225" s="42" t="s">
        <v>29</v>
      </c>
      <c r="AP225" s="43" t="str">
        <f>VLOOKUP(AM223,'結果入力表'!$B$2:$J$212,9,FALSE)</f>
        <v>HRC</v>
      </c>
      <c r="AQ225" s="40"/>
      <c r="AR225" s="44"/>
      <c r="AU225" s="39" t="str">
        <f>VLOOKUP(AV223,'結果入力表'!$B$2:$J$212,2,FALSE)</f>
        <v>WRC</v>
      </c>
      <c r="AV225" s="40"/>
      <c r="AW225" s="41"/>
      <c r="AX225" s="42" t="s">
        <v>29</v>
      </c>
      <c r="AY225" s="43" t="str">
        <f>VLOOKUP(AV223,'結果入力表'!$B$2:$J$212,9,FALSE)</f>
        <v>HRC</v>
      </c>
      <c r="AZ225" s="40"/>
      <c r="BA225" s="44"/>
      <c r="BD225" s="39" t="str">
        <f>VLOOKUP(BE223,'結果入力表'!$B$2:$J$212,2,FALSE)</f>
        <v>WRC</v>
      </c>
      <c r="BE225" s="40"/>
      <c r="BF225" s="41"/>
      <c r="BG225" s="42" t="s">
        <v>29</v>
      </c>
      <c r="BH225" s="43" t="str">
        <f>VLOOKUP(BE223,'結果入力表'!$B$2:$J$212,9,FALSE)</f>
        <v>HRC</v>
      </c>
      <c r="BI225" s="40"/>
      <c r="BJ225" s="44"/>
    </row>
    <row r="226" spans="2:62" ht="46.5" customHeight="1">
      <c r="B226" s="438" t="str">
        <f>VLOOKUP(C223,'結果入力表'!$B$2:$J$212,3,FALSE)</f>
        <v>中本 雅大</v>
      </c>
      <c r="C226" s="19"/>
      <c r="D226" s="20"/>
      <c r="E226" s="46" t="s">
        <v>30</v>
      </c>
      <c r="F226" s="437" t="str">
        <f>VLOOKUP(C223,'結果入力表'!$B$2:$J$212,8,FALSE)</f>
        <v>長井　充</v>
      </c>
      <c r="G226" s="19"/>
      <c r="H226" s="48"/>
      <c r="K226" s="438" t="str">
        <f>VLOOKUP(L223,'結果入力表'!$B$2:$J$212,3,FALSE)</f>
        <v>松房ゆかり</v>
      </c>
      <c r="L226" s="19"/>
      <c r="M226" s="20"/>
      <c r="N226" s="46" t="s">
        <v>30</v>
      </c>
      <c r="O226" s="437" t="str">
        <f>VLOOKUP(L223,'結果入力表'!$B$2:$J$212,8,FALSE)</f>
        <v>藤中健太郎</v>
      </c>
      <c r="P226" s="19"/>
      <c r="Q226" s="48"/>
      <c r="T226" s="438" t="str">
        <f>VLOOKUP(U223,'結果入力表'!$B$2:$J$212,3,FALSE)</f>
        <v>末岡　修</v>
      </c>
      <c r="U226" s="19"/>
      <c r="V226" s="20"/>
      <c r="W226" s="46" t="s">
        <v>30</v>
      </c>
      <c r="X226" s="437" t="str">
        <f>VLOOKUP(U223,'結果入力表'!$B$2:$J$212,8,FALSE)</f>
        <v>後藤 勇治</v>
      </c>
      <c r="Y226" s="19"/>
      <c r="Z226" s="48"/>
      <c r="AC226" s="438" t="str">
        <f>VLOOKUP(AD223,'結果入力表'!$B$2:$J$212,3,FALSE)</f>
        <v>杉本 博章</v>
      </c>
      <c r="AD226" s="19"/>
      <c r="AE226" s="20"/>
      <c r="AF226" s="46" t="s">
        <v>30</v>
      </c>
      <c r="AG226" s="437" t="str">
        <f>VLOOKUP(AD223,'結果入力表'!$B$2:$J$212,8,FALSE)</f>
        <v>丹羽 俊也</v>
      </c>
      <c r="AH226" s="19"/>
      <c r="AI226" s="48"/>
      <c r="AL226" s="438" t="str">
        <f>VLOOKUP(AM223,'結果入力表'!$B$2:$J$212,3,FALSE)</f>
        <v>丹次 力良</v>
      </c>
      <c r="AM226" s="19"/>
      <c r="AN226" s="20"/>
      <c r="AO226" s="46" t="s">
        <v>30</v>
      </c>
      <c r="AP226" s="437" t="str">
        <f>VLOOKUP(AM223,'結果入力表'!$B$2:$J$212,8,FALSE)</f>
        <v>平井 洸志</v>
      </c>
      <c r="AQ226" s="19"/>
      <c r="AR226" s="48"/>
      <c r="AU226" s="438" t="str">
        <f>VLOOKUP(AV223,'結果入力表'!$B$2:$J$212,3,FALSE)</f>
        <v>芝先 泰生</v>
      </c>
      <c r="AV226" s="19"/>
      <c r="AW226" s="20"/>
      <c r="AX226" s="46" t="s">
        <v>30</v>
      </c>
      <c r="AY226" s="437" t="str">
        <f>VLOOKUP(AV223,'結果入力表'!$B$2:$J$212,8,FALSE)</f>
        <v>栃下 恭子</v>
      </c>
      <c r="AZ226" s="19"/>
      <c r="BA226" s="48"/>
      <c r="BD226" s="438" t="str">
        <f>VLOOKUP(BE223,'結果入力表'!$B$2:$J$212,3,FALSE)</f>
        <v>岸上 賢一</v>
      </c>
      <c r="BE226" s="19"/>
      <c r="BF226" s="20"/>
      <c r="BG226" s="46" t="s">
        <v>30</v>
      </c>
      <c r="BH226" s="437" t="str">
        <f>VLOOKUP(BE223,'結果入力表'!$B$2:$J$212,8,FALSE)</f>
        <v>堂園 雅也</v>
      </c>
      <c r="BI226" s="19"/>
      <c r="BJ226" s="48"/>
    </row>
    <row r="227" spans="2:62" ht="37.5" customHeight="1">
      <c r="B227" s="49"/>
      <c r="C227" s="19"/>
      <c r="D227" s="20"/>
      <c r="E227" s="46" t="s">
        <v>31</v>
      </c>
      <c r="F227" s="50"/>
      <c r="G227" s="19"/>
      <c r="H227" s="48"/>
      <c r="K227" s="49"/>
      <c r="L227" s="19"/>
      <c r="M227" s="20"/>
      <c r="N227" s="46" t="s">
        <v>31</v>
      </c>
      <c r="O227" s="50"/>
      <c r="P227" s="19"/>
      <c r="Q227" s="48"/>
      <c r="T227" s="49"/>
      <c r="U227" s="19"/>
      <c r="V227" s="20"/>
      <c r="W227" s="46" t="s">
        <v>31</v>
      </c>
      <c r="X227" s="50"/>
      <c r="Y227" s="19"/>
      <c r="Z227" s="48"/>
      <c r="AC227" s="49"/>
      <c r="AD227" s="19"/>
      <c r="AE227" s="20"/>
      <c r="AF227" s="46" t="s">
        <v>31</v>
      </c>
      <c r="AG227" s="50"/>
      <c r="AH227" s="19"/>
      <c r="AI227" s="48"/>
      <c r="AL227" s="49"/>
      <c r="AM227" s="19"/>
      <c r="AN227" s="20"/>
      <c r="AO227" s="46" t="s">
        <v>31</v>
      </c>
      <c r="AP227" s="50"/>
      <c r="AQ227" s="19"/>
      <c r="AR227" s="48"/>
      <c r="AU227" s="49"/>
      <c r="AV227" s="19"/>
      <c r="AW227" s="20"/>
      <c r="AX227" s="46" t="s">
        <v>31</v>
      </c>
      <c r="AY227" s="50"/>
      <c r="AZ227" s="19"/>
      <c r="BA227" s="48"/>
      <c r="BD227" s="49"/>
      <c r="BE227" s="19"/>
      <c r="BF227" s="20"/>
      <c r="BG227" s="46" t="s">
        <v>31</v>
      </c>
      <c r="BH227" s="50"/>
      <c r="BI227" s="19"/>
      <c r="BJ227" s="48"/>
    </row>
    <row r="228" spans="2:62" ht="37.5" customHeight="1" thickBot="1">
      <c r="B228" s="51"/>
      <c r="C228" s="52"/>
      <c r="D228" s="53"/>
      <c r="E228" s="54" t="s">
        <v>32</v>
      </c>
      <c r="F228" s="55"/>
      <c r="G228" s="52"/>
      <c r="H228" s="56"/>
      <c r="K228" s="51"/>
      <c r="L228" s="52"/>
      <c r="M228" s="53"/>
      <c r="N228" s="54" t="s">
        <v>32</v>
      </c>
      <c r="O228" s="55"/>
      <c r="P228" s="52"/>
      <c r="Q228" s="56"/>
      <c r="T228" s="51"/>
      <c r="U228" s="52"/>
      <c r="V228" s="53"/>
      <c r="W228" s="54" t="s">
        <v>32</v>
      </c>
      <c r="X228" s="55"/>
      <c r="Y228" s="52"/>
      <c r="Z228" s="56"/>
      <c r="AC228" s="51"/>
      <c r="AD228" s="52"/>
      <c r="AE228" s="53"/>
      <c r="AF228" s="54" t="s">
        <v>32</v>
      </c>
      <c r="AG228" s="55"/>
      <c r="AH228" s="52"/>
      <c r="AI228" s="56"/>
      <c r="AL228" s="51"/>
      <c r="AM228" s="52"/>
      <c r="AN228" s="53"/>
      <c r="AO228" s="54" t="s">
        <v>32</v>
      </c>
      <c r="AP228" s="55"/>
      <c r="AQ228" s="52"/>
      <c r="AR228" s="56"/>
      <c r="AU228" s="51"/>
      <c r="AV228" s="52"/>
      <c r="AW228" s="53"/>
      <c r="AX228" s="54" t="s">
        <v>32</v>
      </c>
      <c r="AY228" s="55"/>
      <c r="AZ228" s="52"/>
      <c r="BA228" s="56"/>
      <c r="BD228" s="51"/>
      <c r="BE228" s="52"/>
      <c r="BF228" s="53"/>
      <c r="BG228" s="54" t="s">
        <v>32</v>
      </c>
      <c r="BH228" s="55"/>
      <c r="BI228" s="52"/>
      <c r="BJ228" s="56"/>
    </row>
    <row r="230" spans="4:62" ht="15" customHeight="1">
      <c r="D230" s="22"/>
      <c r="E230" s="22"/>
      <c r="F230" s="21" t="s">
        <v>37</v>
      </c>
      <c r="G230" s="30"/>
      <c r="H230" s="30"/>
      <c r="M230" s="22"/>
      <c r="N230" s="22"/>
      <c r="O230" s="21" t="s">
        <v>37</v>
      </c>
      <c r="P230" s="30"/>
      <c r="Q230" s="30"/>
      <c r="V230" s="22"/>
      <c r="W230" s="22"/>
      <c r="X230" s="21" t="s">
        <v>37</v>
      </c>
      <c r="Y230" s="30"/>
      <c r="Z230" s="30"/>
      <c r="AE230" s="22"/>
      <c r="AF230" s="22"/>
      <c r="AG230" s="21" t="s">
        <v>37</v>
      </c>
      <c r="AH230" s="30"/>
      <c r="AI230" s="30"/>
      <c r="AN230" s="22"/>
      <c r="AO230" s="22"/>
      <c r="AP230" s="21" t="s">
        <v>37</v>
      </c>
      <c r="AQ230" s="30"/>
      <c r="AR230" s="30"/>
      <c r="AW230" s="22"/>
      <c r="AX230" s="22"/>
      <c r="AY230" s="21" t="s">
        <v>37</v>
      </c>
      <c r="AZ230" s="30"/>
      <c r="BA230" s="30"/>
      <c r="BF230" s="22"/>
      <c r="BG230" s="22"/>
      <c r="BH230" s="21" t="s">
        <v>37</v>
      </c>
      <c r="BI230" s="30"/>
      <c r="BJ230" s="30"/>
    </row>
    <row r="231" spans="2:64" ht="15" customHeight="1">
      <c r="B231" s="23" t="str">
        <f>'★個人成績表★'!$A$1</f>
        <v>第28回　京阪神和奈滋対抗戦　　　(大阪；玉出エース)</v>
      </c>
      <c r="C231" s="36"/>
      <c r="D231" s="36"/>
      <c r="E231" s="36"/>
      <c r="F231" s="36"/>
      <c r="G231" s="36"/>
      <c r="H231" s="37"/>
      <c r="K231" s="23" t="str">
        <f>'★個人成績表★'!$A$1</f>
        <v>第28回　京阪神和奈滋対抗戦　　　(大阪；玉出エース)</v>
      </c>
      <c r="L231" s="36"/>
      <c r="M231" s="36"/>
      <c r="N231" s="36"/>
      <c r="O231" s="36"/>
      <c r="P231" s="36"/>
      <c r="Q231" s="37"/>
      <c r="T231" s="23" t="str">
        <f>'★個人成績表★'!$A$1</f>
        <v>第28回　京阪神和奈滋対抗戦　　　(大阪；玉出エース)</v>
      </c>
      <c r="U231" s="36"/>
      <c r="V231" s="36"/>
      <c r="W231" s="36"/>
      <c r="X231" s="36"/>
      <c r="Y231" s="36"/>
      <c r="Z231" s="37"/>
      <c r="AC231" s="23" t="str">
        <f>'★個人成績表★'!$A$1</f>
        <v>第28回　京阪神和奈滋対抗戦　　　(大阪；玉出エース)</v>
      </c>
      <c r="AD231" s="36"/>
      <c r="AE231" s="36"/>
      <c r="AF231" s="36"/>
      <c r="AG231" s="36"/>
      <c r="AH231" s="36"/>
      <c r="AI231" s="37"/>
      <c r="AL231" s="23" t="str">
        <f>'★個人成績表★'!$A$1</f>
        <v>第28回　京阪神和奈滋対抗戦　　　(大阪；玉出エース)</v>
      </c>
      <c r="AM231" s="36"/>
      <c r="AN231" s="36"/>
      <c r="AO231" s="36"/>
      <c r="AP231" s="36"/>
      <c r="AQ231" s="36"/>
      <c r="AR231" s="37"/>
      <c r="AU231" s="23" t="str">
        <f>'★個人成績表★'!$A$1</f>
        <v>第28回　京阪神和奈滋対抗戦　　　(大阪；玉出エース)</v>
      </c>
      <c r="AV231" s="36"/>
      <c r="AW231" s="36"/>
      <c r="AX231" s="36"/>
      <c r="AY231" s="36"/>
      <c r="AZ231" s="36"/>
      <c r="BA231" s="37"/>
      <c r="BD231" s="23" t="str">
        <f>'★個人成績表★'!$A$1</f>
        <v>第28回　京阪神和奈滋対抗戦　　　(大阪；玉出エース)</v>
      </c>
      <c r="BE231" s="36"/>
      <c r="BF231" s="36"/>
      <c r="BG231" s="36"/>
      <c r="BH231" s="36"/>
      <c r="BI231" s="36"/>
      <c r="BJ231" s="37"/>
      <c r="BL231" t="s">
        <v>33</v>
      </c>
    </row>
    <row r="233" spans="2:61" s="38" customFormat="1" ht="15" customHeight="1">
      <c r="B233" s="22" t="s">
        <v>35</v>
      </c>
      <c r="C233" s="30">
        <f>BE223+1</f>
        <v>155</v>
      </c>
      <c r="F233" s="22" t="s">
        <v>36</v>
      </c>
      <c r="G233" s="30"/>
      <c r="K233" s="22" t="s">
        <v>35</v>
      </c>
      <c r="L233" s="30">
        <f>C233+1</f>
        <v>156</v>
      </c>
      <c r="O233" s="22" t="s">
        <v>36</v>
      </c>
      <c r="P233" s="30"/>
      <c r="T233" s="22" t="s">
        <v>35</v>
      </c>
      <c r="U233" s="30">
        <f>L233+1</f>
        <v>157</v>
      </c>
      <c r="X233" s="22" t="s">
        <v>36</v>
      </c>
      <c r="Y233" s="30"/>
      <c r="AC233" s="22" t="s">
        <v>35</v>
      </c>
      <c r="AD233" s="30">
        <f>U233+1</f>
        <v>158</v>
      </c>
      <c r="AG233" s="22" t="s">
        <v>36</v>
      </c>
      <c r="AH233" s="30"/>
      <c r="AL233" s="22" t="s">
        <v>35</v>
      </c>
      <c r="AM233" s="30">
        <f>AD233+1</f>
        <v>159</v>
      </c>
      <c r="AP233" s="22" t="s">
        <v>36</v>
      </c>
      <c r="AQ233" s="30"/>
      <c r="AU233" s="22" t="s">
        <v>35</v>
      </c>
      <c r="AV233" s="30">
        <f>AM233+1</f>
        <v>160</v>
      </c>
      <c r="AY233" s="22" t="s">
        <v>36</v>
      </c>
      <c r="AZ233" s="30"/>
      <c r="BD233" s="22" t="s">
        <v>35</v>
      </c>
      <c r="BE233" s="30">
        <f>AV233+1</f>
        <v>161</v>
      </c>
      <c r="BH233" s="22" t="s">
        <v>36</v>
      </c>
      <c r="BI233" s="30"/>
    </row>
    <row r="234" ht="15" customHeight="1" thickBot="1"/>
    <row r="235" spans="2:62" ht="31.5" customHeight="1">
      <c r="B235" s="39" t="str">
        <f>VLOOKUP(C233,'結果入力表'!$B$2:$J$212,2,FALSE)</f>
        <v>SBC</v>
      </c>
      <c r="C235" s="40"/>
      <c r="D235" s="41"/>
      <c r="E235" s="42" t="s">
        <v>29</v>
      </c>
      <c r="F235" s="43" t="str">
        <f>VLOOKUP(C233,'結果入力表'!$B$2:$J$212,9,FALSE)</f>
        <v>ORC</v>
      </c>
      <c r="G235" s="40"/>
      <c r="H235" s="44"/>
      <c r="K235" s="39" t="str">
        <f>VLOOKUP(L233,'結果入力表'!$B$2:$J$212,2,FALSE)</f>
        <v>SBC</v>
      </c>
      <c r="L235" s="40"/>
      <c r="M235" s="41"/>
      <c r="N235" s="42" t="s">
        <v>29</v>
      </c>
      <c r="O235" s="43" t="str">
        <f>VLOOKUP(L233,'結果入力表'!$B$2:$J$212,9,FALSE)</f>
        <v>ORC</v>
      </c>
      <c r="P235" s="40"/>
      <c r="Q235" s="44"/>
      <c r="T235" s="39" t="str">
        <f>VLOOKUP(U233,'結果入力表'!$B$2:$J$212,2,FALSE)</f>
        <v>SBC</v>
      </c>
      <c r="U235" s="40"/>
      <c r="V235" s="41"/>
      <c r="W235" s="42" t="s">
        <v>29</v>
      </c>
      <c r="X235" s="43" t="str">
        <f>VLOOKUP(U233,'結果入力表'!$B$2:$J$212,9,FALSE)</f>
        <v>ORC</v>
      </c>
      <c r="Y235" s="40"/>
      <c r="Z235" s="44"/>
      <c r="AC235" s="39" t="str">
        <f>VLOOKUP(AD233,'結果入力表'!$B$2:$J$212,2,FALSE)</f>
        <v>SBC</v>
      </c>
      <c r="AD235" s="40"/>
      <c r="AE235" s="41"/>
      <c r="AF235" s="42" t="s">
        <v>29</v>
      </c>
      <c r="AG235" s="43" t="str">
        <f>VLOOKUP(AD233,'結果入力表'!$B$2:$J$212,9,FALSE)</f>
        <v>ORC</v>
      </c>
      <c r="AH235" s="40"/>
      <c r="AI235" s="44"/>
      <c r="AL235" s="39" t="str">
        <f>VLOOKUP(AM233,'結果入力表'!$B$2:$J$212,2,FALSE)</f>
        <v>SBC</v>
      </c>
      <c r="AM235" s="40"/>
      <c r="AN235" s="41"/>
      <c r="AO235" s="42" t="s">
        <v>29</v>
      </c>
      <c r="AP235" s="43" t="str">
        <f>VLOOKUP(AM233,'結果入力表'!$B$2:$J$212,9,FALSE)</f>
        <v>ORC</v>
      </c>
      <c r="AQ235" s="40"/>
      <c r="AR235" s="44"/>
      <c r="AU235" s="39" t="str">
        <f>VLOOKUP(AV233,'結果入力表'!$B$2:$J$212,2,FALSE)</f>
        <v>SBC</v>
      </c>
      <c r="AV235" s="40"/>
      <c r="AW235" s="41"/>
      <c r="AX235" s="42" t="s">
        <v>29</v>
      </c>
      <c r="AY235" s="43" t="str">
        <f>VLOOKUP(AV233,'結果入力表'!$B$2:$J$212,9,FALSE)</f>
        <v>ORC</v>
      </c>
      <c r="AZ235" s="40"/>
      <c r="BA235" s="44"/>
      <c r="BD235" s="39" t="str">
        <f>VLOOKUP(BE233,'結果入力表'!$B$2:$J$212,2,FALSE)</f>
        <v>SBC</v>
      </c>
      <c r="BE235" s="40"/>
      <c r="BF235" s="41"/>
      <c r="BG235" s="42" t="s">
        <v>29</v>
      </c>
      <c r="BH235" s="43" t="str">
        <f>VLOOKUP(BE233,'結果入力表'!$B$2:$J$212,9,FALSE)</f>
        <v>ORC</v>
      </c>
      <c r="BI235" s="40"/>
      <c r="BJ235" s="44"/>
    </row>
    <row r="236" spans="2:62" ht="46.5" customHeight="1">
      <c r="B236" s="438" t="str">
        <f>VLOOKUP(C233,'結果入力表'!$B$2:$J$212,3,FALSE)</f>
        <v>高島 太一</v>
      </c>
      <c r="C236" s="19"/>
      <c r="D236" s="20"/>
      <c r="E236" s="46" t="s">
        <v>30</v>
      </c>
      <c r="F236" s="437" t="str">
        <f>VLOOKUP(C233,'結果入力表'!$B$2:$J$212,8,FALSE)</f>
        <v>吉岡 保俊</v>
      </c>
      <c r="G236" s="19"/>
      <c r="H236" s="48"/>
      <c r="K236" s="438" t="str">
        <f>VLOOKUP(L233,'結果入力表'!$B$2:$J$212,3,FALSE)</f>
        <v>須藤 浩章</v>
      </c>
      <c r="L236" s="19"/>
      <c r="M236" s="20"/>
      <c r="N236" s="46" t="s">
        <v>30</v>
      </c>
      <c r="O236" s="437" t="str">
        <f>VLOOKUP(L233,'結果入力表'!$B$2:$J$212,8,FALSE)</f>
        <v>山田 玄英</v>
      </c>
      <c r="P236" s="19"/>
      <c r="Q236" s="48"/>
      <c r="T236" s="438" t="str">
        <f>VLOOKUP(U233,'結果入力表'!$B$2:$J$212,3,FALSE)</f>
        <v>酒井 美希</v>
      </c>
      <c r="U236" s="19"/>
      <c r="V236" s="20"/>
      <c r="W236" s="46" t="s">
        <v>30</v>
      </c>
      <c r="X236" s="437" t="str">
        <f>VLOOKUP(U233,'結果入力表'!$B$2:$J$212,8,FALSE)</f>
        <v>由本　拓</v>
      </c>
      <c r="Y236" s="19"/>
      <c r="Z236" s="48"/>
      <c r="AC236" s="438" t="str">
        <f>VLOOKUP(AD233,'結果入力表'!$B$2:$J$212,3,FALSE)</f>
        <v>西峰 久祐</v>
      </c>
      <c r="AD236" s="19"/>
      <c r="AE236" s="20"/>
      <c r="AF236" s="46" t="s">
        <v>30</v>
      </c>
      <c r="AG236" s="437" t="str">
        <f>VLOOKUP(AD233,'結果入力表'!$B$2:$J$212,8,FALSE)</f>
        <v>田中 隆介</v>
      </c>
      <c r="AH236" s="19"/>
      <c r="AI236" s="48"/>
      <c r="AL236" s="438" t="str">
        <f>VLOOKUP(AM233,'結果入力表'!$B$2:$J$212,3,FALSE)</f>
        <v>長田 智紀</v>
      </c>
      <c r="AM236" s="19"/>
      <c r="AN236" s="20"/>
      <c r="AO236" s="46" t="s">
        <v>30</v>
      </c>
      <c r="AP236" s="437" t="str">
        <f>VLOOKUP(AM233,'結果入力表'!$B$2:$J$212,8,FALSE)</f>
        <v>西田 恵子</v>
      </c>
      <c r="AQ236" s="19"/>
      <c r="AR236" s="48"/>
      <c r="AU236" s="438" t="str">
        <f>VLOOKUP(AV233,'結果入力表'!$B$2:$J$212,3,FALSE)</f>
        <v>大橋 義治</v>
      </c>
      <c r="AV236" s="19"/>
      <c r="AW236" s="20"/>
      <c r="AX236" s="46" t="s">
        <v>30</v>
      </c>
      <c r="AY236" s="437" t="str">
        <f>VLOOKUP(AV233,'結果入力表'!$B$2:$J$212,8,FALSE)</f>
        <v>村上 泰辰</v>
      </c>
      <c r="AZ236" s="19"/>
      <c r="BA236" s="48"/>
      <c r="BD236" s="438" t="str">
        <f>VLOOKUP(BE233,'結果入力表'!$B$2:$J$212,3,FALSE)</f>
        <v>山中 康寛</v>
      </c>
      <c r="BE236" s="19"/>
      <c r="BF236" s="20"/>
      <c r="BG236" s="46" t="s">
        <v>30</v>
      </c>
      <c r="BH236" s="437" t="str">
        <f>VLOOKUP(BE233,'結果入力表'!$B$2:$J$212,8,FALSE)</f>
        <v>乾　伸綱</v>
      </c>
      <c r="BI236" s="19"/>
      <c r="BJ236" s="48"/>
    </row>
    <row r="237" spans="2:62" ht="37.5" customHeight="1">
      <c r="B237" s="49"/>
      <c r="C237" s="19"/>
      <c r="D237" s="20"/>
      <c r="E237" s="46" t="s">
        <v>31</v>
      </c>
      <c r="F237" s="50"/>
      <c r="G237" s="19"/>
      <c r="H237" s="48"/>
      <c r="K237" s="49"/>
      <c r="L237" s="19"/>
      <c r="M237" s="20"/>
      <c r="N237" s="46" t="s">
        <v>31</v>
      </c>
      <c r="O237" s="50"/>
      <c r="P237" s="19"/>
      <c r="Q237" s="48"/>
      <c r="T237" s="49"/>
      <c r="U237" s="19"/>
      <c r="V237" s="20"/>
      <c r="W237" s="46" t="s">
        <v>31</v>
      </c>
      <c r="X237" s="50"/>
      <c r="Y237" s="19"/>
      <c r="Z237" s="48"/>
      <c r="AC237" s="49"/>
      <c r="AD237" s="19"/>
      <c r="AE237" s="20"/>
      <c r="AF237" s="46" t="s">
        <v>31</v>
      </c>
      <c r="AG237" s="50"/>
      <c r="AH237" s="19"/>
      <c r="AI237" s="48"/>
      <c r="AL237" s="49"/>
      <c r="AM237" s="19"/>
      <c r="AN237" s="20"/>
      <c r="AO237" s="46" t="s">
        <v>31</v>
      </c>
      <c r="AP237" s="50"/>
      <c r="AQ237" s="19"/>
      <c r="AR237" s="48"/>
      <c r="AU237" s="49"/>
      <c r="AV237" s="19"/>
      <c r="AW237" s="20"/>
      <c r="AX237" s="46" t="s">
        <v>31</v>
      </c>
      <c r="AY237" s="50"/>
      <c r="AZ237" s="19"/>
      <c r="BA237" s="48"/>
      <c r="BD237" s="49"/>
      <c r="BE237" s="19"/>
      <c r="BF237" s="20"/>
      <c r="BG237" s="46" t="s">
        <v>31</v>
      </c>
      <c r="BH237" s="50"/>
      <c r="BI237" s="19"/>
      <c r="BJ237" s="48"/>
    </row>
    <row r="238" spans="2:62" ht="37.5" customHeight="1" thickBot="1">
      <c r="B238" s="51"/>
      <c r="C238" s="52"/>
      <c r="D238" s="53"/>
      <c r="E238" s="54" t="s">
        <v>32</v>
      </c>
      <c r="F238" s="55"/>
      <c r="G238" s="52"/>
      <c r="H238" s="56"/>
      <c r="K238" s="51"/>
      <c r="L238" s="52"/>
      <c r="M238" s="53"/>
      <c r="N238" s="54" t="s">
        <v>32</v>
      </c>
      <c r="O238" s="55"/>
      <c r="P238" s="52"/>
      <c r="Q238" s="56"/>
      <c r="T238" s="51"/>
      <c r="U238" s="52"/>
      <c r="V238" s="53"/>
      <c r="W238" s="54" t="s">
        <v>32</v>
      </c>
      <c r="X238" s="55"/>
      <c r="Y238" s="52"/>
      <c r="Z238" s="56"/>
      <c r="AC238" s="51"/>
      <c r="AD238" s="52"/>
      <c r="AE238" s="53"/>
      <c r="AF238" s="54" t="s">
        <v>32</v>
      </c>
      <c r="AG238" s="55"/>
      <c r="AH238" s="52"/>
      <c r="AI238" s="56"/>
      <c r="AL238" s="51"/>
      <c r="AM238" s="52"/>
      <c r="AN238" s="53"/>
      <c r="AO238" s="54" t="s">
        <v>32</v>
      </c>
      <c r="AP238" s="55"/>
      <c r="AQ238" s="52"/>
      <c r="AR238" s="56"/>
      <c r="AU238" s="51"/>
      <c r="AV238" s="52"/>
      <c r="AW238" s="53"/>
      <c r="AX238" s="54" t="s">
        <v>32</v>
      </c>
      <c r="AY238" s="55"/>
      <c r="AZ238" s="52"/>
      <c r="BA238" s="56"/>
      <c r="BD238" s="51"/>
      <c r="BE238" s="52"/>
      <c r="BF238" s="53"/>
      <c r="BG238" s="54" t="s">
        <v>32</v>
      </c>
      <c r="BH238" s="55"/>
      <c r="BI238" s="52"/>
      <c r="BJ238" s="56"/>
    </row>
    <row r="240" spans="4:62" ht="15" customHeight="1">
      <c r="D240" s="22"/>
      <c r="E240" s="22"/>
      <c r="F240" s="21" t="s">
        <v>37</v>
      </c>
      <c r="G240" s="30"/>
      <c r="H240" s="30"/>
      <c r="M240" s="22"/>
      <c r="N240" s="22"/>
      <c r="O240" s="21" t="s">
        <v>37</v>
      </c>
      <c r="P240" s="30"/>
      <c r="Q240" s="30"/>
      <c r="V240" s="22"/>
      <c r="W240" s="22"/>
      <c r="X240" s="21" t="s">
        <v>37</v>
      </c>
      <c r="Y240" s="30"/>
      <c r="Z240" s="30"/>
      <c r="AE240" s="22"/>
      <c r="AF240" s="22"/>
      <c r="AG240" s="21" t="s">
        <v>37</v>
      </c>
      <c r="AH240" s="30"/>
      <c r="AI240" s="30"/>
      <c r="AN240" s="22"/>
      <c r="AO240" s="22"/>
      <c r="AP240" s="21" t="s">
        <v>37</v>
      </c>
      <c r="AQ240" s="30"/>
      <c r="AR240" s="30"/>
      <c r="AW240" s="22"/>
      <c r="AX240" s="22"/>
      <c r="AY240" s="21" t="s">
        <v>37</v>
      </c>
      <c r="AZ240" s="30"/>
      <c r="BA240" s="30"/>
      <c r="BF240" s="22"/>
      <c r="BG240" s="22"/>
      <c r="BH240" s="21" t="s">
        <v>37</v>
      </c>
      <c r="BI240" s="30"/>
      <c r="BJ240" s="30"/>
    </row>
    <row r="241" spans="2:64" ht="15" customHeight="1">
      <c r="B241" s="23" t="str">
        <f>'★個人成績表★'!$A$1</f>
        <v>第28回　京阪神和奈滋対抗戦　　　(大阪；玉出エース)</v>
      </c>
      <c r="C241" s="36"/>
      <c r="D241" s="36"/>
      <c r="E241" s="36"/>
      <c r="F241" s="36"/>
      <c r="G241" s="36"/>
      <c r="H241" s="37"/>
      <c r="K241" s="23" t="str">
        <f>'★個人成績表★'!$A$1</f>
        <v>第28回　京阪神和奈滋対抗戦　　　(大阪；玉出エース)</v>
      </c>
      <c r="L241" s="36"/>
      <c r="M241" s="36"/>
      <c r="N241" s="36"/>
      <c r="O241" s="36"/>
      <c r="P241" s="36"/>
      <c r="Q241" s="37"/>
      <c r="T241" s="23" t="str">
        <f>'★個人成績表★'!$A$1</f>
        <v>第28回　京阪神和奈滋対抗戦　　　(大阪；玉出エース)</v>
      </c>
      <c r="U241" s="36"/>
      <c r="V241" s="36"/>
      <c r="W241" s="36"/>
      <c r="X241" s="36"/>
      <c r="Y241" s="36"/>
      <c r="Z241" s="37"/>
      <c r="AC241" s="23" t="str">
        <f>'★個人成績表★'!$A$1</f>
        <v>第28回　京阪神和奈滋対抗戦　　　(大阪；玉出エース)</v>
      </c>
      <c r="AD241" s="36"/>
      <c r="AE241" s="36"/>
      <c r="AF241" s="36"/>
      <c r="AG241" s="36"/>
      <c r="AH241" s="36"/>
      <c r="AI241" s="37"/>
      <c r="AL241" s="23" t="str">
        <f>'★個人成績表★'!$A$1</f>
        <v>第28回　京阪神和奈滋対抗戦　　　(大阪；玉出エース)</v>
      </c>
      <c r="AM241" s="36"/>
      <c r="AN241" s="36"/>
      <c r="AO241" s="36"/>
      <c r="AP241" s="36"/>
      <c r="AQ241" s="36"/>
      <c r="AR241" s="37"/>
      <c r="AU241" s="23" t="str">
        <f>'★個人成績表★'!$A$1</f>
        <v>第28回　京阪神和奈滋対抗戦　　　(大阪；玉出エース)</v>
      </c>
      <c r="AV241" s="36"/>
      <c r="AW241" s="36"/>
      <c r="AX241" s="36"/>
      <c r="AY241" s="36"/>
      <c r="AZ241" s="36"/>
      <c r="BA241" s="37"/>
      <c r="BD241" s="23" t="str">
        <f>'★個人成績表★'!$A$1</f>
        <v>第28回　京阪神和奈滋対抗戦　　　(大阪；玉出エース)</v>
      </c>
      <c r="BE241" s="36"/>
      <c r="BF241" s="36"/>
      <c r="BG241" s="36"/>
      <c r="BH241" s="36"/>
      <c r="BI241" s="36"/>
      <c r="BJ241" s="37"/>
      <c r="BL241" t="s">
        <v>33</v>
      </c>
    </row>
    <row r="243" spans="2:61" s="38" customFormat="1" ht="15" customHeight="1">
      <c r="B243" s="22" t="s">
        <v>35</v>
      </c>
      <c r="C243" s="30">
        <f>BE233+1</f>
        <v>162</v>
      </c>
      <c r="F243" s="22" t="s">
        <v>36</v>
      </c>
      <c r="G243" s="30"/>
      <c r="K243" s="22" t="s">
        <v>35</v>
      </c>
      <c r="L243" s="30">
        <f>C243+1</f>
        <v>163</v>
      </c>
      <c r="O243" s="22" t="s">
        <v>36</v>
      </c>
      <c r="P243" s="30"/>
      <c r="T243" s="22" t="s">
        <v>35</v>
      </c>
      <c r="U243" s="30">
        <f>L243+1</f>
        <v>164</v>
      </c>
      <c r="X243" s="22" t="s">
        <v>36</v>
      </c>
      <c r="Y243" s="30"/>
      <c r="AC243" s="22" t="s">
        <v>35</v>
      </c>
      <c r="AD243" s="30">
        <f>U243+1</f>
        <v>165</v>
      </c>
      <c r="AG243" s="22" t="s">
        <v>36</v>
      </c>
      <c r="AH243" s="30"/>
      <c r="AL243" s="22" t="s">
        <v>35</v>
      </c>
      <c r="AM243" s="30">
        <f>AD243+1</f>
        <v>166</v>
      </c>
      <c r="AP243" s="22" t="s">
        <v>36</v>
      </c>
      <c r="AQ243" s="30"/>
      <c r="AU243" s="22" t="s">
        <v>35</v>
      </c>
      <c r="AV243" s="30">
        <f>AM243+1</f>
        <v>167</v>
      </c>
      <c r="AY243" s="22" t="s">
        <v>36</v>
      </c>
      <c r="AZ243" s="30"/>
      <c r="BD243" s="22" t="s">
        <v>35</v>
      </c>
      <c r="BE243" s="30">
        <f>AV243+1</f>
        <v>168</v>
      </c>
      <c r="BH243" s="22" t="s">
        <v>36</v>
      </c>
      <c r="BI243" s="30"/>
    </row>
    <row r="244" ht="15" customHeight="1" thickBot="1"/>
    <row r="245" spans="2:62" ht="31.5" customHeight="1">
      <c r="B245" s="39" t="str">
        <f>VLOOKUP(C243,'結果入力表'!$B$2:$J$212,2,FALSE)</f>
        <v>KRC</v>
      </c>
      <c r="C245" s="40"/>
      <c r="D245" s="41"/>
      <c r="E245" s="42" t="s">
        <v>29</v>
      </c>
      <c r="F245" s="43" t="str">
        <f>VLOOKUP(C243,'結果入力表'!$B$2:$J$212,9,FALSE)</f>
        <v>NRC</v>
      </c>
      <c r="G245" s="40"/>
      <c r="H245" s="44"/>
      <c r="K245" s="39" t="str">
        <f>VLOOKUP(L243,'結果入力表'!$B$2:$J$212,2,FALSE)</f>
        <v>KRC</v>
      </c>
      <c r="L245" s="40"/>
      <c r="M245" s="41"/>
      <c r="N245" s="42" t="s">
        <v>29</v>
      </c>
      <c r="O245" s="43" t="str">
        <f>VLOOKUP(L243,'結果入力表'!$B$2:$J$212,9,FALSE)</f>
        <v>NRC</v>
      </c>
      <c r="P245" s="40"/>
      <c r="Q245" s="44"/>
      <c r="T245" s="39" t="str">
        <f>VLOOKUP(U243,'結果入力表'!$B$2:$J$212,2,FALSE)</f>
        <v>KRC</v>
      </c>
      <c r="U245" s="40"/>
      <c r="V245" s="41"/>
      <c r="W245" s="42" t="s">
        <v>29</v>
      </c>
      <c r="X245" s="43" t="str">
        <f>VLOOKUP(U243,'結果入力表'!$B$2:$J$212,9,FALSE)</f>
        <v>NRC</v>
      </c>
      <c r="Y245" s="40"/>
      <c r="Z245" s="44"/>
      <c r="AC245" s="39" t="str">
        <f>VLOOKUP(AD243,'結果入力表'!$B$2:$J$212,2,FALSE)</f>
        <v>KRC</v>
      </c>
      <c r="AD245" s="40"/>
      <c r="AE245" s="41"/>
      <c r="AF245" s="42" t="s">
        <v>29</v>
      </c>
      <c r="AG245" s="43" t="str">
        <f>VLOOKUP(AD243,'結果入力表'!$B$2:$J$212,9,FALSE)</f>
        <v>NRC</v>
      </c>
      <c r="AH245" s="40"/>
      <c r="AI245" s="44"/>
      <c r="AL245" s="39" t="str">
        <f>VLOOKUP(AM243,'結果入力表'!$B$2:$J$212,2,FALSE)</f>
        <v>KRC</v>
      </c>
      <c r="AM245" s="40"/>
      <c r="AN245" s="41"/>
      <c r="AO245" s="42" t="s">
        <v>29</v>
      </c>
      <c r="AP245" s="43" t="str">
        <f>VLOOKUP(AM243,'結果入力表'!$B$2:$J$212,9,FALSE)</f>
        <v>NRC</v>
      </c>
      <c r="AQ245" s="40"/>
      <c r="AR245" s="44"/>
      <c r="AU245" s="39" t="str">
        <f>VLOOKUP(AV243,'結果入力表'!$B$2:$J$212,2,FALSE)</f>
        <v>KRC</v>
      </c>
      <c r="AV245" s="40"/>
      <c r="AW245" s="41"/>
      <c r="AX245" s="42" t="s">
        <v>29</v>
      </c>
      <c r="AY245" s="43" t="str">
        <f>VLOOKUP(AV243,'結果入力表'!$B$2:$J$212,9,FALSE)</f>
        <v>NRC</v>
      </c>
      <c r="AZ245" s="40"/>
      <c r="BA245" s="44"/>
      <c r="BD245" s="39" t="str">
        <f>VLOOKUP(BE243,'結果入力表'!$B$2:$J$212,2,FALSE)</f>
        <v>KRC</v>
      </c>
      <c r="BE245" s="40"/>
      <c r="BF245" s="41"/>
      <c r="BG245" s="42" t="s">
        <v>29</v>
      </c>
      <c r="BH245" s="43" t="str">
        <f>VLOOKUP(BE243,'結果入力表'!$B$2:$J$212,9,FALSE)</f>
        <v>NRC</v>
      </c>
      <c r="BI245" s="40"/>
      <c r="BJ245" s="44"/>
    </row>
    <row r="246" spans="2:62" ht="46.5" customHeight="1">
      <c r="B246" s="438" t="str">
        <f>VLOOKUP(C243,'結果入力表'!$B$2:$J$212,3,FALSE)</f>
        <v>折戸 和幸</v>
      </c>
      <c r="C246" s="19"/>
      <c r="D246" s="20"/>
      <c r="E246" s="46" t="s">
        <v>30</v>
      </c>
      <c r="F246" s="437" t="str">
        <f>VLOOKUP(C243,'結果入力表'!$B$2:$J$212,8,FALSE)</f>
        <v>山田 普之</v>
      </c>
      <c r="G246" s="19"/>
      <c r="H246" s="48"/>
      <c r="K246" s="438" t="str">
        <f>VLOOKUP(L243,'結果入力表'!$B$2:$J$212,3,FALSE)</f>
        <v>今村 哲也</v>
      </c>
      <c r="L246" s="19"/>
      <c r="M246" s="20"/>
      <c r="N246" s="46" t="s">
        <v>30</v>
      </c>
      <c r="O246" s="437" t="str">
        <f>VLOOKUP(L243,'結果入力表'!$B$2:$J$212,8,FALSE)</f>
        <v>山田 晃司</v>
      </c>
      <c r="P246" s="19"/>
      <c r="Q246" s="48"/>
      <c r="T246" s="438" t="str">
        <f>VLOOKUP(U243,'結果入力表'!$B$2:$J$212,3,FALSE)</f>
        <v>小山 久博</v>
      </c>
      <c r="U246" s="19"/>
      <c r="V246" s="20"/>
      <c r="W246" s="46" t="s">
        <v>30</v>
      </c>
      <c r="X246" s="437" t="str">
        <f>VLOOKUP(U243,'結果入力表'!$B$2:$J$212,8,FALSE)</f>
        <v>長谷川 進</v>
      </c>
      <c r="Y246" s="19"/>
      <c r="Z246" s="48"/>
      <c r="AC246" s="438" t="str">
        <f>VLOOKUP(AD243,'結果入力表'!$B$2:$J$212,3,FALSE)</f>
        <v>伊庭 保久</v>
      </c>
      <c r="AD246" s="19"/>
      <c r="AE246" s="20"/>
      <c r="AF246" s="46" t="s">
        <v>30</v>
      </c>
      <c r="AG246" s="437" t="str">
        <f>VLOOKUP(AD243,'結果入力表'!$B$2:$J$212,8,FALSE)</f>
        <v>宮野 早織</v>
      </c>
      <c r="AH246" s="19"/>
      <c r="AI246" s="48"/>
      <c r="AL246" s="438" t="str">
        <f>VLOOKUP(AM243,'結果入力表'!$B$2:$J$212,3,FALSE)</f>
        <v>菊池 靖正</v>
      </c>
      <c r="AM246" s="19"/>
      <c r="AN246" s="20"/>
      <c r="AO246" s="46" t="s">
        <v>30</v>
      </c>
      <c r="AP246" s="437" t="str">
        <f>VLOOKUP(AM243,'結果入力表'!$B$2:$J$212,8,FALSE)</f>
        <v>白戸 玲人</v>
      </c>
      <c r="AQ246" s="19"/>
      <c r="AR246" s="48"/>
      <c r="AU246" s="438" t="str">
        <f>VLOOKUP(AV243,'結果入力表'!$B$2:$J$212,3,FALSE)</f>
        <v>田附 裕次</v>
      </c>
      <c r="AV246" s="19"/>
      <c r="AW246" s="20"/>
      <c r="AX246" s="46" t="s">
        <v>30</v>
      </c>
      <c r="AY246" s="437" t="str">
        <f>VLOOKUP(AV243,'結果入力表'!$B$2:$J$212,8,FALSE)</f>
        <v>近藤 拓馬</v>
      </c>
      <c r="AZ246" s="19"/>
      <c r="BA246" s="48"/>
      <c r="BD246" s="438" t="str">
        <f>VLOOKUP(BE243,'結果入力表'!$B$2:$J$212,3,FALSE)</f>
        <v>森田由佳里</v>
      </c>
      <c r="BE246" s="19"/>
      <c r="BF246" s="20"/>
      <c r="BG246" s="46" t="s">
        <v>30</v>
      </c>
      <c r="BH246" s="437" t="str">
        <f>VLOOKUP(BE243,'結果入力表'!$B$2:$J$212,8,FALSE)</f>
        <v>吉向 翔平</v>
      </c>
      <c r="BI246" s="19"/>
      <c r="BJ246" s="48"/>
    </row>
    <row r="247" spans="2:62" ht="37.5" customHeight="1">
      <c r="B247" s="49"/>
      <c r="C247" s="19"/>
      <c r="D247" s="20"/>
      <c r="E247" s="46" t="s">
        <v>31</v>
      </c>
      <c r="F247" s="50"/>
      <c r="G247" s="19"/>
      <c r="H247" s="48"/>
      <c r="K247" s="49"/>
      <c r="L247" s="19"/>
      <c r="M247" s="20"/>
      <c r="N247" s="46" t="s">
        <v>31</v>
      </c>
      <c r="O247" s="50"/>
      <c r="P247" s="19"/>
      <c r="Q247" s="48"/>
      <c r="T247" s="49"/>
      <c r="U247" s="19"/>
      <c r="V247" s="20"/>
      <c r="W247" s="46" t="s">
        <v>31</v>
      </c>
      <c r="X247" s="50"/>
      <c r="Y247" s="19"/>
      <c r="Z247" s="48"/>
      <c r="AC247" s="49"/>
      <c r="AD247" s="19"/>
      <c r="AE247" s="20"/>
      <c r="AF247" s="46" t="s">
        <v>31</v>
      </c>
      <c r="AG247" s="50"/>
      <c r="AH247" s="19"/>
      <c r="AI247" s="48"/>
      <c r="AL247" s="49"/>
      <c r="AM247" s="19"/>
      <c r="AN247" s="20"/>
      <c r="AO247" s="46" t="s">
        <v>31</v>
      </c>
      <c r="AP247" s="50"/>
      <c r="AQ247" s="19"/>
      <c r="AR247" s="48"/>
      <c r="AU247" s="49"/>
      <c r="AV247" s="19"/>
      <c r="AW247" s="20"/>
      <c r="AX247" s="46" t="s">
        <v>31</v>
      </c>
      <c r="AY247" s="50"/>
      <c r="AZ247" s="19"/>
      <c r="BA247" s="48"/>
      <c r="BD247" s="49"/>
      <c r="BE247" s="19"/>
      <c r="BF247" s="20"/>
      <c r="BG247" s="46" t="s">
        <v>31</v>
      </c>
      <c r="BH247" s="50"/>
      <c r="BI247" s="19"/>
      <c r="BJ247" s="48"/>
    </row>
    <row r="248" spans="2:62" ht="37.5" customHeight="1" thickBot="1">
      <c r="B248" s="51"/>
      <c r="C248" s="52"/>
      <c r="D248" s="53"/>
      <c r="E248" s="54" t="s">
        <v>32</v>
      </c>
      <c r="F248" s="55"/>
      <c r="G248" s="52"/>
      <c r="H248" s="56"/>
      <c r="K248" s="51"/>
      <c r="L248" s="52"/>
      <c r="M248" s="53"/>
      <c r="N248" s="54" t="s">
        <v>32</v>
      </c>
      <c r="O248" s="55"/>
      <c r="P248" s="52"/>
      <c r="Q248" s="56"/>
      <c r="T248" s="51"/>
      <c r="U248" s="52"/>
      <c r="V248" s="53"/>
      <c r="W248" s="54" t="s">
        <v>32</v>
      </c>
      <c r="X248" s="55"/>
      <c r="Y248" s="52"/>
      <c r="Z248" s="56"/>
      <c r="AC248" s="51"/>
      <c r="AD248" s="52"/>
      <c r="AE248" s="53"/>
      <c r="AF248" s="54" t="s">
        <v>32</v>
      </c>
      <c r="AG248" s="55"/>
      <c r="AH248" s="52"/>
      <c r="AI248" s="56"/>
      <c r="AL248" s="51"/>
      <c r="AM248" s="52"/>
      <c r="AN248" s="53"/>
      <c r="AO248" s="54" t="s">
        <v>32</v>
      </c>
      <c r="AP248" s="55"/>
      <c r="AQ248" s="52"/>
      <c r="AR248" s="56"/>
      <c r="AU248" s="51"/>
      <c r="AV248" s="52"/>
      <c r="AW248" s="53"/>
      <c r="AX248" s="54" t="s">
        <v>32</v>
      </c>
      <c r="AY248" s="55"/>
      <c r="AZ248" s="52"/>
      <c r="BA248" s="56"/>
      <c r="BD248" s="51"/>
      <c r="BE248" s="52"/>
      <c r="BF248" s="53"/>
      <c r="BG248" s="54" t="s">
        <v>32</v>
      </c>
      <c r="BH248" s="55"/>
      <c r="BI248" s="52"/>
      <c r="BJ248" s="56"/>
    </row>
    <row r="250" spans="4:62" ht="15" customHeight="1">
      <c r="D250" s="22"/>
      <c r="E250" s="22"/>
      <c r="F250" s="21" t="s">
        <v>37</v>
      </c>
      <c r="G250" s="30"/>
      <c r="H250" s="30"/>
      <c r="M250" s="22"/>
      <c r="N250" s="22"/>
      <c r="O250" s="21" t="s">
        <v>37</v>
      </c>
      <c r="P250" s="30"/>
      <c r="Q250" s="30"/>
      <c r="V250" s="22"/>
      <c r="W250" s="22"/>
      <c r="X250" s="21" t="s">
        <v>37</v>
      </c>
      <c r="Y250" s="30"/>
      <c r="Z250" s="30"/>
      <c r="AE250" s="22"/>
      <c r="AF250" s="22"/>
      <c r="AG250" s="21" t="s">
        <v>37</v>
      </c>
      <c r="AH250" s="30"/>
      <c r="AI250" s="30"/>
      <c r="AN250" s="22"/>
      <c r="AO250" s="22"/>
      <c r="AP250" s="21" t="s">
        <v>37</v>
      </c>
      <c r="AQ250" s="30"/>
      <c r="AR250" s="30"/>
      <c r="AW250" s="22"/>
      <c r="AX250" s="22"/>
      <c r="AY250" s="21" t="s">
        <v>37</v>
      </c>
      <c r="AZ250" s="30"/>
      <c r="BA250" s="30"/>
      <c r="BF250" s="22"/>
      <c r="BG250" s="22"/>
      <c r="BH250" s="21" t="s">
        <v>37</v>
      </c>
      <c r="BI250" s="30"/>
      <c r="BJ250" s="30"/>
    </row>
    <row r="251" spans="2:64" ht="15" customHeight="1">
      <c r="B251" s="23" t="str">
        <f>'★個人成績表★'!$A$1</f>
        <v>第28回　京阪神和奈滋対抗戦　　　(大阪；玉出エース)</v>
      </c>
      <c r="C251" s="36"/>
      <c r="D251" s="36"/>
      <c r="E251" s="36"/>
      <c r="F251" s="36"/>
      <c r="G251" s="36"/>
      <c r="H251" s="37"/>
      <c r="K251" s="23" t="str">
        <f>'★個人成績表★'!$A$1</f>
        <v>第28回　京阪神和奈滋対抗戦　　　(大阪；玉出エース)</v>
      </c>
      <c r="L251" s="36"/>
      <c r="M251" s="36"/>
      <c r="N251" s="36"/>
      <c r="O251" s="36"/>
      <c r="P251" s="36"/>
      <c r="Q251" s="37"/>
      <c r="T251" s="23" t="str">
        <f>'★個人成績表★'!$A$1</f>
        <v>第28回　京阪神和奈滋対抗戦　　　(大阪；玉出エース)</v>
      </c>
      <c r="U251" s="36"/>
      <c r="V251" s="36"/>
      <c r="W251" s="36"/>
      <c r="X251" s="36"/>
      <c r="Y251" s="36"/>
      <c r="Z251" s="37"/>
      <c r="AC251" s="23" t="str">
        <f>'★個人成績表★'!$A$1</f>
        <v>第28回　京阪神和奈滋対抗戦　　　(大阪；玉出エース)</v>
      </c>
      <c r="AD251" s="36"/>
      <c r="AE251" s="36"/>
      <c r="AF251" s="36"/>
      <c r="AG251" s="36"/>
      <c r="AH251" s="36"/>
      <c r="AI251" s="37"/>
      <c r="AL251" s="23" t="str">
        <f>'★個人成績表★'!$A$1</f>
        <v>第28回　京阪神和奈滋対抗戦　　　(大阪；玉出エース)</v>
      </c>
      <c r="AM251" s="36"/>
      <c r="AN251" s="36"/>
      <c r="AO251" s="36"/>
      <c r="AP251" s="36"/>
      <c r="AQ251" s="36"/>
      <c r="AR251" s="37"/>
      <c r="AU251" s="23" t="str">
        <f>'★個人成績表★'!$A$1</f>
        <v>第28回　京阪神和奈滋対抗戦　　　(大阪；玉出エース)</v>
      </c>
      <c r="AV251" s="36"/>
      <c r="AW251" s="36"/>
      <c r="AX251" s="36"/>
      <c r="AY251" s="36"/>
      <c r="AZ251" s="36"/>
      <c r="BA251" s="37"/>
      <c r="BD251" s="23" t="str">
        <f>'★個人成績表★'!$A$1</f>
        <v>第28回　京阪神和奈滋対抗戦　　　(大阪；玉出エース)</v>
      </c>
      <c r="BE251" s="36"/>
      <c r="BF251" s="36"/>
      <c r="BG251" s="36"/>
      <c r="BH251" s="36"/>
      <c r="BI251" s="36"/>
      <c r="BJ251" s="37"/>
      <c r="BL251" t="s">
        <v>33</v>
      </c>
    </row>
    <row r="253" spans="2:61" s="38" customFormat="1" ht="15" customHeight="1">
      <c r="B253" s="22" t="s">
        <v>35</v>
      </c>
      <c r="C253" s="30">
        <f>BE243+1</f>
        <v>169</v>
      </c>
      <c r="F253" s="22" t="s">
        <v>36</v>
      </c>
      <c r="G253" s="30"/>
      <c r="K253" s="22" t="s">
        <v>35</v>
      </c>
      <c r="L253" s="30">
        <f>C253+1</f>
        <v>170</v>
      </c>
      <c r="O253" s="22" t="s">
        <v>36</v>
      </c>
      <c r="P253" s="30"/>
      <c r="T253" s="22" t="s">
        <v>35</v>
      </c>
      <c r="U253" s="30">
        <f>L253+1</f>
        <v>171</v>
      </c>
      <c r="X253" s="22" t="s">
        <v>36</v>
      </c>
      <c r="Y253" s="30"/>
      <c r="AC253" s="22" t="s">
        <v>35</v>
      </c>
      <c r="AD253" s="30">
        <f>U253+1</f>
        <v>172</v>
      </c>
      <c r="AG253" s="22" t="s">
        <v>36</v>
      </c>
      <c r="AH253" s="30"/>
      <c r="AL253" s="22" t="s">
        <v>35</v>
      </c>
      <c r="AM253" s="30">
        <f>AD253+1</f>
        <v>173</v>
      </c>
      <c r="AP253" s="22" t="s">
        <v>36</v>
      </c>
      <c r="AQ253" s="30"/>
      <c r="AU253" s="22" t="s">
        <v>35</v>
      </c>
      <c r="AV253" s="30">
        <f>AM253+1</f>
        <v>174</v>
      </c>
      <c r="AY253" s="22" t="s">
        <v>36</v>
      </c>
      <c r="AZ253" s="30"/>
      <c r="BD253" s="22" t="s">
        <v>35</v>
      </c>
      <c r="BE253" s="30">
        <f>AV253+1</f>
        <v>175</v>
      </c>
      <c r="BH253" s="22" t="s">
        <v>36</v>
      </c>
      <c r="BI253" s="30"/>
    </row>
    <row r="254" ht="15" customHeight="1" thickBot="1"/>
    <row r="255" spans="2:62" ht="31.5" customHeight="1">
      <c r="B255" s="39" t="str">
        <f>VLOOKUP(C253,'結果入力表'!$B$2:$J$212,2,FALSE)</f>
        <v>SBC</v>
      </c>
      <c r="C255" s="40"/>
      <c r="D255" s="41"/>
      <c r="E255" s="42" t="s">
        <v>29</v>
      </c>
      <c r="F255" s="43" t="str">
        <f>VLOOKUP(C253,'結果入力表'!$B$2:$J$212,9,FALSE)</f>
        <v>WRC</v>
      </c>
      <c r="G255" s="40"/>
      <c r="H255" s="44"/>
      <c r="K255" s="39" t="str">
        <f>VLOOKUP(L253,'結果入力表'!$B$2:$J$212,2,FALSE)</f>
        <v>SBC</v>
      </c>
      <c r="L255" s="40"/>
      <c r="M255" s="41"/>
      <c r="N255" s="42" t="s">
        <v>29</v>
      </c>
      <c r="O255" s="43" t="str">
        <f>VLOOKUP(L253,'結果入力表'!$B$2:$J$212,9,FALSE)</f>
        <v>WRC</v>
      </c>
      <c r="P255" s="40"/>
      <c r="Q255" s="44"/>
      <c r="T255" s="39" t="str">
        <f>VLOOKUP(U253,'結果入力表'!$B$2:$J$212,2,FALSE)</f>
        <v>SBC</v>
      </c>
      <c r="U255" s="40"/>
      <c r="V255" s="41"/>
      <c r="W255" s="42" t="s">
        <v>29</v>
      </c>
      <c r="X255" s="43" t="str">
        <f>VLOOKUP(U253,'結果入力表'!$B$2:$J$212,9,FALSE)</f>
        <v>WRC</v>
      </c>
      <c r="Y255" s="40"/>
      <c r="Z255" s="44"/>
      <c r="AC255" s="39" t="str">
        <f>VLOOKUP(AD253,'結果入力表'!$B$2:$J$212,2,FALSE)</f>
        <v>SBC</v>
      </c>
      <c r="AD255" s="40"/>
      <c r="AE255" s="41"/>
      <c r="AF255" s="42" t="s">
        <v>29</v>
      </c>
      <c r="AG255" s="43" t="str">
        <f>VLOOKUP(AD253,'結果入力表'!$B$2:$J$212,9,FALSE)</f>
        <v>WRC</v>
      </c>
      <c r="AH255" s="40"/>
      <c r="AI255" s="44"/>
      <c r="AL255" s="39" t="str">
        <f>VLOOKUP(AM253,'結果入力表'!$B$2:$J$212,2,FALSE)</f>
        <v>SBC</v>
      </c>
      <c r="AM255" s="40"/>
      <c r="AN255" s="41"/>
      <c r="AO255" s="42" t="s">
        <v>29</v>
      </c>
      <c r="AP255" s="43" t="str">
        <f>VLOOKUP(AM253,'結果入力表'!$B$2:$J$212,9,FALSE)</f>
        <v>WRC</v>
      </c>
      <c r="AQ255" s="40"/>
      <c r="AR255" s="44"/>
      <c r="AU255" s="39" t="str">
        <f>VLOOKUP(AV253,'結果入力表'!$B$2:$J$212,2,FALSE)</f>
        <v>SBC</v>
      </c>
      <c r="AV255" s="40"/>
      <c r="AW255" s="41"/>
      <c r="AX255" s="42" t="s">
        <v>29</v>
      </c>
      <c r="AY255" s="43" t="str">
        <f>VLOOKUP(AV253,'結果入力表'!$B$2:$J$212,9,FALSE)</f>
        <v>WRC</v>
      </c>
      <c r="AZ255" s="40"/>
      <c r="BA255" s="44"/>
      <c r="BD255" s="39" t="str">
        <f>VLOOKUP(BE253,'結果入力表'!$B$2:$J$212,2,FALSE)</f>
        <v>SBC</v>
      </c>
      <c r="BE255" s="40"/>
      <c r="BF255" s="41"/>
      <c r="BG255" s="42" t="s">
        <v>29</v>
      </c>
      <c r="BH255" s="43" t="str">
        <f>VLOOKUP(BE253,'結果入力表'!$B$2:$J$212,9,FALSE)</f>
        <v>WRC</v>
      </c>
      <c r="BI255" s="40"/>
      <c r="BJ255" s="44"/>
    </row>
    <row r="256" spans="2:62" ht="46.5" customHeight="1">
      <c r="B256" s="438" t="str">
        <f>VLOOKUP(C253,'結果入力表'!$B$2:$J$212,3,FALSE)</f>
        <v>高島 太一</v>
      </c>
      <c r="C256" s="19"/>
      <c r="D256" s="20"/>
      <c r="E256" s="46" t="s">
        <v>30</v>
      </c>
      <c r="F256" s="437" t="str">
        <f>VLOOKUP(C253,'結果入力表'!$B$2:$J$212,8,FALSE)</f>
        <v>中本 雅大</v>
      </c>
      <c r="G256" s="19"/>
      <c r="H256" s="48"/>
      <c r="K256" s="438" t="str">
        <f>VLOOKUP(L253,'結果入力表'!$B$2:$J$212,3,FALSE)</f>
        <v>須藤 浩章</v>
      </c>
      <c r="L256" s="19"/>
      <c r="M256" s="20"/>
      <c r="N256" s="46" t="s">
        <v>30</v>
      </c>
      <c r="O256" s="437" t="str">
        <f>VLOOKUP(L253,'結果入力表'!$B$2:$J$212,8,FALSE)</f>
        <v>松房ゆかり</v>
      </c>
      <c r="P256" s="19"/>
      <c r="Q256" s="48"/>
      <c r="T256" s="438" t="str">
        <f>VLOOKUP(U253,'結果入力表'!$B$2:$J$212,3,FALSE)</f>
        <v>酒井 美希</v>
      </c>
      <c r="U256" s="19"/>
      <c r="V256" s="20"/>
      <c r="W256" s="46" t="s">
        <v>30</v>
      </c>
      <c r="X256" s="437" t="str">
        <f>VLOOKUP(U253,'結果入力表'!$B$2:$J$212,8,FALSE)</f>
        <v>末岡　修</v>
      </c>
      <c r="Y256" s="19"/>
      <c r="Z256" s="48"/>
      <c r="AC256" s="438" t="str">
        <f>VLOOKUP(AD253,'結果入力表'!$B$2:$J$212,3,FALSE)</f>
        <v>西峰 久祐</v>
      </c>
      <c r="AD256" s="19"/>
      <c r="AE256" s="20"/>
      <c r="AF256" s="46" t="s">
        <v>30</v>
      </c>
      <c r="AG256" s="437" t="str">
        <f>VLOOKUP(AD253,'結果入力表'!$B$2:$J$212,8,FALSE)</f>
        <v>杉本 博章</v>
      </c>
      <c r="AH256" s="19"/>
      <c r="AI256" s="48"/>
      <c r="AL256" s="438" t="str">
        <f>VLOOKUP(AM253,'結果入力表'!$B$2:$J$212,3,FALSE)</f>
        <v>長田 智紀</v>
      </c>
      <c r="AM256" s="19"/>
      <c r="AN256" s="20"/>
      <c r="AO256" s="46" t="s">
        <v>30</v>
      </c>
      <c r="AP256" s="437" t="str">
        <f>VLOOKUP(AM253,'結果入力表'!$B$2:$J$212,8,FALSE)</f>
        <v>丹次 力良</v>
      </c>
      <c r="AQ256" s="19"/>
      <c r="AR256" s="48"/>
      <c r="AU256" s="438" t="str">
        <f>VLOOKUP(AV253,'結果入力表'!$B$2:$J$212,3,FALSE)</f>
        <v>大橋 義治</v>
      </c>
      <c r="AV256" s="19"/>
      <c r="AW256" s="20"/>
      <c r="AX256" s="46" t="s">
        <v>30</v>
      </c>
      <c r="AY256" s="437" t="str">
        <f>VLOOKUP(AV253,'結果入力表'!$B$2:$J$212,8,FALSE)</f>
        <v>芝先 泰生</v>
      </c>
      <c r="AZ256" s="19"/>
      <c r="BA256" s="48"/>
      <c r="BD256" s="438" t="str">
        <f>VLOOKUP(BE253,'結果入力表'!$B$2:$J$212,3,FALSE)</f>
        <v>山中 康寛</v>
      </c>
      <c r="BE256" s="19"/>
      <c r="BF256" s="20"/>
      <c r="BG256" s="46" t="s">
        <v>30</v>
      </c>
      <c r="BH256" s="437" t="str">
        <f>VLOOKUP(BE253,'結果入力表'!$B$2:$J$212,8,FALSE)</f>
        <v>岸上 賢一</v>
      </c>
      <c r="BI256" s="19"/>
      <c r="BJ256" s="48"/>
    </row>
    <row r="257" spans="2:62" ht="37.5" customHeight="1">
      <c r="B257" s="49"/>
      <c r="C257" s="19"/>
      <c r="D257" s="20"/>
      <c r="E257" s="46" t="s">
        <v>31</v>
      </c>
      <c r="F257" s="50"/>
      <c r="G257" s="19"/>
      <c r="H257" s="48"/>
      <c r="K257" s="49"/>
      <c r="L257" s="19"/>
      <c r="M257" s="20"/>
      <c r="N257" s="46" t="s">
        <v>31</v>
      </c>
      <c r="O257" s="50"/>
      <c r="P257" s="19"/>
      <c r="Q257" s="48"/>
      <c r="T257" s="49"/>
      <c r="U257" s="19"/>
      <c r="V257" s="20"/>
      <c r="W257" s="46" t="s">
        <v>31</v>
      </c>
      <c r="X257" s="50"/>
      <c r="Y257" s="19"/>
      <c r="Z257" s="48"/>
      <c r="AC257" s="49"/>
      <c r="AD257" s="19"/>
      <c r="AE257" s="20"/>
      <c r="AF257" s="46" t="s">
        <v>31</v>
      </c>
      <c r="AG257" s="50"/>
      <c r="AH257" s="19"/>
      <c r="AI257" s="48"/>
      <c r="AL257" s="49"/>
      <c r="AM257" s="19"/>
      <c r="AN257" s="20"/>
      <c r="AO257" s="46" t="s">
        <v>31</v>
      </c>
      <c r="AP257" s="50"/>
      <c r="AQ257" s="19"/>
      <c r="AR257" s="48"/>
      <c r="AU257" s="49"/>
      <c r="AV257" s="19"/>
      <c r="AW257" s="20"/>
      <c r="AX257" s="46" t="s">
        <v>31</v>
      </c>
      <c r="AY257" s="50"/>
      <c r="AZ257" s="19"/>
      <c r="BA257" s="48"/>
      <c r="BD257" s="49"/>
      <c r="BE257" s="19"/>
      <c r="BF257" s="20"/>
      <c r="BG257" s="46" t="s">
        <v>31</v>
      </c>
      <c r="BH257" s="50"/>
      <c r="BI257" s="19"/>
      <c r="BJ257" s="48"/>
    </row>
    <row r="258" spans="2:62" ht="37.5" customHeight="1" thickBot="1">
      <c r="B258" s="51"/>
      <c r="C258" s="52"/>
      <c r="D258" s="53"/>
      <c r="E258" s="54" t="s">
        <v>32</v>
      </c>
      <c r="F258" s="55"/>
      <c r="G258" s="52"/>
      <c r="H258" s="56"/>
      <c r="K258" s="51"/>
      <c r="L258" s="52"/>
      <c r="M258" s="53"/>
      <c r="N258" s="54" t="s">
        <v>32</v>
      </c>
      <c r="O258" s="55"/>
      <c r="P258" s="52"/>
      <c r="Q258" s="56"/>
      <c r="T258" s="51"/>
      <c r="U258" s="52"/>
      <c r="V258" s="53"/>
      <c r="W258" s="54" t="s">
        <v>32</v>
      </c>
      <c r="X258" s="55"/>
      <c r="Y258" s="52"/>
      <c r="Z258" s="56"/>
      <c r="AC258" s="51"/>
      <c r="AD258" s="52"/>
      <c r="AE258" s="53"/>
      <c r="AF258" s="54" t="s">
        <v>32</v>
      </c>
      <c r="AG258" s="55"/>
      <c r="AH258" s="52"/>
      <c r="AI258" s="56"/>
      <c r="AL258" s="51"/>
      <c r="AM258" s="52"/>
      <c r="AN258" s="53"/>
      <c r="AO258" s="54" t="s">
        <v>32</v>
      </c>
      <c r="AP258" s="55"/>
      <c r="AQ258" s="52"/>
      <c r="AR258" s="56"/>
      <c r="AU258" s="51"/>
      <c r="AV258" s="52"/>
      <c r="AW258" s="53"/>
      <c r="AX258" s="54" t="s">
        <v>32</v>
      </c>
      <c r="AY258" s="55"/>
      <c r="AZ258" s="52"/>
      <c r="BA258" s="56"/>
      <c r="BD258" s="51"/>
      <c r="BE258" s="52"/>
      <c r="BF258" s="53"/>
      <c r="BG258" s="54" t="s">
        <v>32</v>
      </c>
      <c r="BH258" s="55"/>
      <c r="BI258" s="52"/>
      <c r="BJ258" s="56"/>
    </row>
    <row r="260" spans="4:62" ht="15" customHeight="1">
      <c r="D260" s="22"/>
      <c r="E260" s="22"/>
      <c r="F260" s="21" t="s">
        <v>37</v>
      </c>
      <c r="G260" s="30"/>
      <c r="H260" s="30"/>
      <c r="M260" s="22"/>
      <c r="N260" s="22"/>
      <c r="O260" s="21" t="s">
        <v>37</v>
      </c>
      <c r="P260" s="30"/>
      <c r="Q260" s="30"/>
      <c r="V260" s="22"/>
      <c r="W260" s="22"/>
      <c r="X260" s="21" t="s">
        <v>37</v>
      </c>
      <c r="Y260" s="30"/>
      <c r="Z260" s="30"/>
      <c r="AE260" s="22"/>
      <c r="AF260" s="22"/>
      <c r="AG260" s="21" t="s">
        <v>37</v>
      </c>
      <c r="AH260" s="30"/>
      <c r="AI260" s="30"/>
      <c r="AN260" s="22"/>
      <c r="AO260" s="22"/>
      <c r="AP260" s="21" t="s">
        <v>37</v>
      </c>
      <c r="AQ260" s="30"/>
      <c r="AR260" s="30"/>
      <c r="AW260" s="22"/>
      <c r="AX260" s="22"/>
      <c r="AY260" s="21" t="s">
        <v>37</v>
      </c>
      <c r="AZ260" s="30"/>
      <c r="BA260" s="30"/>
      <c r="BF260" s="22"/>
      <c r="BG260" s="22"/>
      <c r="BH260" s="21" t="s">
        <v>37</v>
      </c>
      <c r="BI260" s="30"/>
      <c r="BJ260" s="30"/>
    </row>
    <row r="261" spans="2:64" ht="15" customHeight="1">
      <c r="B261" s="23" t="str">
        <f>'★個人成績表★'!$A$1</f>
        <v>第28回　京阪神和奈滋対抗戦　　　(大阪；玉出エース)</v>
      </c>
      <c r="C261" s="36"/>
      <c r="D261" s="36"/>
      <c r="E261" s="36"/>
      <c r="F261" s="36"/>
      <c r="G261" s="36"/>
      <c r="H261" s="37"/>
      <c r="K261" s="23" t="str">
        <f>'★個人成績表★'!$A$1</f>
        <v>第28回　京阪神和奈滋対抗戦　　　(大阪；玉出エース)</v>
      </c>
      <c r="L261" s="36"/>
      <c r="M261" s="36"/>
      <c r="N261" s="36"/>
      <c r="O261" s="36"/>
      <c r="P261" s="36"/>
      <c r="Q261" s="37"/>
      <c r="T261" s="23" t="str">
        <f>'★個人成績表★'!$A$1</f>
        <v>第28回　京阪神和奈滋対抗戦　　　(大阪；玉出エース)</v>
      </c>
      <c r="U261" s="36"/>
      <c r="V261" s="36"/>
      <c r="W261" s="36"/>
      <c r="X261" s="36"/>
      <c r="Y261" s="36"/>
      <c r="Z261" s="37"/>
      <c r="AC261" s="23" t="str">
        <f>'★個人成績表★'!$A$1</f>
        <v>第28回　京阪神和奈滋対抗戦　　　(大阪；玉出エース)</v>
      </c>
      <c r="AD261" s="36"/>
      <c r="AE261" s="36"/>
      <c r="AF261" s="36"/>
      <c r="AG261" s="36"/>
      <c r="AH261" s="36"/>
      <c r="AI261" s="37"/>
      <c r="AL261" s="23" t="str">
        <f>'★個人成績表★'!$A$1</f>
        <v>第28回　京阪神和奈滋対抗戦　　　(大阪；玉出エース)</v>
      </c>
      <c r="AM261" s="36"/>
      <c r="AN261" s="36"/>
      <c r="AO261" s="36"/>
      <c r="AP261" s="36"/>
      <c r="AQ261" s="36"/>
      <c r="AR261" s="37"/>
      <c r="AU261" s="23" t="str">
        <f>'★個人成績表★'!$A$1</f>
        <v>第28回　京阪神和奈滋対抗戦　　　(大阪；玉出エース)</v>
      </c>
      <c r="AV261" s="36"/>
      <c r="AW261" s="36"/>
      <c r="AX261" s="36"/>
      <c r="AY261" s="36"/>
      <c r="AZ261" s="36"/>
      <c r="BA261" s="37"/>
      <c r="BD261" s="23" t="str">
        <f>'★個人成績表★'!$A$1</f>
        <v>第28回　京阪神和奈滋対抗戦　　　(大阪；玉出エース)</v>
      </c>
      <c r="BE261" s="36"/>
      <c r="BF261" s="36"/>
      <c r="BG261" s="36"/>
      <c r="BH261" s="36"/>
      <c r="BI261" s="36"/>
      <c r="BJ261" s="37"/>
      <c r="BL261" t="s">
        <v>33</v>
      </c>
    </row>
    <row r="263" spans="2:61" s="38" customFormat="1" ht="15" customHeight="1">
      <c r="B263" s="22" t="s">
        <v>35</v>
      </c>
      <c r="C263" s="30">
        <f>BE253+1</f>
        <v>176</v>
      </c>
      <c r="F263" s="22" t="s">
        <v>36</v>
      </c>
      <c r="G263" s="30"/>
      <c r="K263" s="22" t="s">
        <v>35</v>
      </c>
      <c r="L263" s="30">
        <f>C263+1</f>
        <v>177</v>
      </c>
      <c r="O263" s="22" t="s">
        <v>36</v>
      </c>
      <c r="P263" s="30"/>
      <c r="T263" s="22" t="s">
        <v>35</v>
      </c>
      <c r="U263" s="30">
        <f>L263+1</f>
        <v>178</v>
      </c>
      <c r="X263" s="22" t="s">
        <v>36</v>
      </c>
      <c r="Y263" s="30"/>
      <c r="AC263" s="22" t="s">
        <v>35</v>
      </c>
      <c r="AD263" s="30">
        <f>U263+1</f>
        <v>179</v>
      </c>
      <c r="AG263" s="22" t="s">
        <v>36</v>
      </c>
      <c r="AH263" s="30"/>
      <c r="AL263" s="22" t="s">
        <v>35</v>
      </c>
      <c r="AM263" s="30">
        <f>AD263+1</f>
        <v>180</v>
      </c>
      <c r="AP263" s="22" t="s">
        <v>36</v>
      </c>
      <c r="AQ263" s="30"/>
      <c r="AU263" s="22" t="s">
        <v>35</v>
      </c>
      <c r="AV263" s="30">
        <f>AM263+1</f>
        <v>181</v>
      </c>
      <c r="AY263" s="22" t="s">
        <v>36</v>
      </c>
      <c r="AZ263" s="30"/>
      <c r="BD263" s="22" t="s">
        <v>35</v>
      </c>
      <c r="BE263" s="30">
        <f>AV263+1</f>
        <v>182</v>
      </c>
      <c r="BH263" s="22" t="s">
        <v>36</v>
      </c>
      <c r="BI263" s="30"/>
    </row>
    <row r="264" ht="15" customHeight="1" thickBot="1"/>
    <row r="265" spans="2:62" ht="31.5" customHeight="1">
      <c r="B265" s="39" t="str">
        <f>VLOOKUP(C263,'結果入力表'!$B$2:$J$212,2,FALSE)</f>
        <v>NRC</v>
      </c>
      <c r="C265" s="40"/>
      <c r="D265" s="41"/>
      <c r="E265" s="42" t="s">
        <v>29</v>
      </c>
      <c r="F265" s="43" t="str">
        <f>VLOOKUP(C263,'結果入力表'!$B$2:$J$212,9,FALSE)</f>
        <v>HRC</v>
      </c>
      <c r="G265" s="40"/>
      <c r="H265" s="44"/>
      <c r="K265" s="39" t="str">
        <f>VLOOKUP(L263,'結果入力表'!$B$2:$J$212,2,FALSE)</f>
        <v>NRC</v>
      </c>
      <c r="L265" s="40"/>
      <c r="M265" s="41"/>
      <c r="N265" s="42" t="s">
        <v>29</v>
      </c>
      <c r="O265" s="43" t="str">
        <f>VLOOKUP(L263,'結果入力表'!$B$2:$J$212,9,FALSE)</f>
        <v>HRC</v>
      </c>
      <c r="P265" s="40"/>
      <c r="Q265" s="44"/>
      <c r="T265" s="39" t="str">
        <f>VLOOKUP(U263,'結果入力表'!$B$2:$J$212,2,FALSE)</f>
        <v>NRC</v>
      </c>
      <c r="U265" s="40"/>
      <c r="V265" s="41"/>
      <c r="W265" s="42" t="s">
        <v>29</v>
      </c>
      <c r="X265" s="43" t="str">
        <f>VLOOKUP(U263,'結果入力表'!$B$2:$J$212,9,FALSE)</f>
        <v>HRC</v>
      </c>
      <c r="Y265" s="40"/>
      <c r="Z265" s="44"/>
      <c r="AC265" s="39" t="str">
        <f>VLOOKUP(AD263,'結果入力表'!$B$2:$J$212,2,FALSE)</f>
        <v>NRC</v>
      </c>
      <c r="AD265" s="40"/>
      <c r="AE265" s="41"/>
      <c r="AF265" s="42" t="s">
        <v>29</v>
      </c>
      <c r="AG265" s="43" t="str">
        <f>VLOOKUP(AD263,'結果入力表'!$B$2:$J$212,9,FALSE)</f>
        <v>HRC</v>
      </c>
      <c r="AH265" s="40"/>
      <c r="AI265" s="44"/>
      <c r="AL265" s="39" t="str">
        <f>VLOOKUP(AM263,'結果入力表'!$B$2:$J$212,2,FALSE)</f>
        <v>NRC</v>
      </c>
      <c r="AM265" s="40"/>
      <c r="AN265" s="41"/>
      <c r="AO265" s="42" t="s">
        <v>29</v>
      </c>
      <c r="AP265" s="43" t="str">
        <f>VLOOKUP(AM263,'結果入力表'!$B$2:$J$212,9,FALSE)</f>
        <v>HRC</v>
      </c>
      <c r="AQ265" s="40"/>
      <c r="AR265" s="44"/>
      <c r="AU265" s="39" t="str">
        <f>VLOOKUP(AV263,'結果入力表'!$B$2:$J$212,2,FALSE)</f>
        <v>NRC</v>
      </c>
      <c r="AV265" s="40"/>
      <c r="AW265" s="41"/>
      <c r="AX265" s="42" t="s">
        <v>29</v>
      </c>
      <c r="AY265" s="43" t="str">
        <f>VLOOKUP(AV263,'結果入力表'!$B$2:$J$212,9,FALSE)</f>
        <v>HRC</v>
      </c>
      <c r="AZ265" s="40"/>
      <c r="BA265" s="44"/>
      <c r="BD265" s="39" t="str">
        <f>VLOOKUP(BE263,'結果入力表'!$B$2:$J$212,2,FALSE)</f>
        <v>NRC</v>
      </c>
      <c r="BE265" s="40"/>
      <c r="BF265" s="41"/>
      <c r="BG265" s="42" t="s">
        <v>29</v>
      </c>
      <c r="BH265" s="43" t="str">
        <f>VLOOKUP(BE263,'結果入力表'!$B$2:$J$212,9,FALSE)</f>
        <v>HRC</v>
      </c>
      <c r="BI265" s="40"/>
      <c r="BJ265" s="44"/>
    </row>
    <row r="266" spans="2:62" ht="46.5" customHeight="1">
      <c r="B266" s="438" t="str">
        <f>VLOOKUP(C263,'結果入力表'!$B$2:$J$212,3,FALSE)</f>
        <v>山田 普之</v>
      </c>
      <c r="C266" s="19"/>
      <c r="D266" s="20"/>
      <c r="E266" s="46" t="s">
        <v>30</v>
      </c>
      <c r="F266" s="437" t="str">
        <f>VLOOKUP(C263,'結果入力表'!$B$2:$J$212,8,FALSE)</f>
        <v>長井　充</v>
      </c>
      <c r="G266" s="19"/>
      <c r="H266" s="48"/>
      <c r="K266" s="438" t="str">
        <f>VLOOKUP(L263,'結果入力表'!$B$2:$J$212,3,FALSE)</f>
        <v>山田 晃司</v>
      </c>
      <c r="L266" s="19"/>
      <c r="M266" s="20"/>
      <c r="N266" s="46" t="s">
        <v>30</v>
      </c>
      <c r="O266" s="437" t="str">
        <f>VLOOKUP(L263,'結果入力表'!$B$2:$J$212,8,FALSE)</f>
        <v>藤中健太郎</v>
      </c>
      <c r="P266" s="19"/>
      <c r="Q266" s="48"/>
      <c r="T266" s="438" t="str">
        <f>VLOOKUP(U263,'結果入力表'!$B$2:$J$212,3,FALSE)</f>
        <v>長谷川 進</v>
      </c>
      <c r="U266" s="19"/>
      <c r="V266" s="20"/>
      <c r="W266" s="46" t="s">
        <v>30</v>
      </c>
      <c r="X266" s="437" t="str">
        <f>VLOOKUP(U263,'結果入力表'!$B$2:$J$212,8,FALSE)</f>
        <v>後藤 勇治</v>
      </c>
      <c r="Y266" s="19"/>
      <c r="Z266" s="48"/>
      <c r="AC266" s="438" t="str">
        <f>VLOOKUP(AD263,'結果入力表'!$B$2:$J$212,3,FALSE)</f>
        <v>宮野 早織</v>
      </c>
      <c r="AD266" s="19"/>
      <c r="AE266" s="20"/>
      <c r="AF266" s="46" t="s">
        <v>30</v>
      </c>
      <c r="AG266" s="437" t="str">
        <f>VLOOKUP(AD263,'結果入力表'!$B$2:$J$212,8,FALSE)</f>
        <v>丹羽 俊也</v>
      </c>
      <c r="AH266" s="19"/>
      <c r="AI266" s="48"/>
      <c r="AL266" s="438" t="str">
        <f>VLOOKUP(AM263,'結果入力表'!$B$2:$J$212,3,FALSE)</f>
        <v>白戸 玲人</v>
      </c>
      <c r="AM266" s="19"/>
      <c r="AN266" s="20"/>
      <c r="AO266" s="46" t="s">
        <v>30</v>
      </c>
      <c r="AP266" s="437" t="str">
        <f>VLOOKUP(AM263,'結果入力表'!$B$2:$J$212,8,FALSE)</f>
        <v>平井 洸志</v>
      </c>
      <c r="AQ266" s="19"/>
      <c r="AR266" s="48"/>
      <c r="AU266" s="438" t="str">
        <f>VLOOKUP(AV263,'結果入力表'!$B$2:$J$212,3,FALSE)</f>
        <v>近藤 拓馬</v>
      </c>
      <c r="AV266" s="19"/>
      <c r="AW266" s="20"/>
      <c r="AX266" s="46" t="s">
        <v>30</v>
      </c>
      <c r="AY266" s="437" t="str">
        <f>VLOOKUP(AV263,'結果入力表'!$B$2:$J$212,8,FALSE)</f>
        <v>栃下 恭子</v>
      </c>
      <c r="AZ266" s="19"/>
      <c r="BA266" s="48"/>
      <c r="BD266" s="438" t="str">
        <f>VLOOKUP(BE263,'結果入力表'!$B$2:$J$212,3,FALSE)</f>
        <v>吉向 翔平</v>
      </c>
      <c r="BE266" s="19"/>
      <c r="BF266" s="20"/>
      <c r="BG266" s="46" t="s">
        <v>30</v>
      </c>
      <c r="BH266" s="437" t="str">
        <f>VLOOKUP(BE263,'結果入力表'!$B$2:$J$212,8,FALSE)</f>
        <v>堂園 雅也</v>
      </c>
      <c r="BI266" s="19"/>
      <c r="BJ266" s="48"/>
    </row>
    <row r="267" spans="2:62" ht="37.5" customHeight="1">
      <c r="B267" s="49"/>
      <c r="C267" s="19"/>
      <c r="D267" s="20"/>
      <c r="E267" s="46" t="s">
        <v>31</v>
      </c>
      <c r="F267" s="50"/>
      <c r="G267" s="19"/>
      <c r="H267" s="48"/>
      <c r="K267" s="49"/>
      <c r="L267" s="19"/>
      <c r="M267" s="20"/>
      <c r="N267" s="46" t="s">
        <v>31</v>
      </c>
      <c r="O267" s="50"/>
      <c r="P267" s="19"/>
      <c r="Q267" s="48"/>
      <c r="T267" s="49"/>
      <c r="U267" s="19"/>
      <c r="V267" s="20"/>
      <c r="W267" s="46" t="s">
        <v>31</v>
      </c>
      <c r="X267" s="50"/>
      <c r="Y267" s="19"/>
      <c r="Z267" s="48"/>
      <c r="AC267" s="49"/>
      <c r="AD267" s="19"/>
      <c r="AE267" s="20"/>
      <c r="AF267" s="46" t="s">
        <v>31</v>
      </c>
      <c r="AG267" s="50"/>
      <c r="AH267" s="19"/>
      <c r="AI267" s="48"/>
      <c r="AL267" s="49"/>
      <c r="AM267" s="19"/>
      <c r="AN267" s="20"/>
      <c r="AO267" s="46" t="s">
        <v>31</v>
      </c>
      <c r="AP267" s="50"/>
      <c r="AQ267" s="19"/>
      <c r="AR267" s="48"/>
      <c r="AU267" s="49"/>
      <c r="AV267" s="19"/>
      <c r="AW267" s="20"/>
      <c r="AX267" s="46" t="s">
        <v>31</v>
      </c>
      <c r="AY267" s="50"/>
      <c r="AZ267" s="19"/>
      <c r="BA267" s="48"/>
      <c r="BD267" s="49"/>
      <c r="BE267" s="19"/>
      <c r="BF267" s="20"/>
      <c r="BG267" s="46" t="s">
        <v>31</v>
      </c>
      <c r="BH267" s="50"/>
      <c r="BI267" s="19"/>
      <c r="BJ267" s="48"/>
    </row>
    <row r="268" spans="2:62" ht="37.5" customHeight="1" thickBot="1">
      <c r="B268" s="51"/>
      <c r="C268" s="52"/>
      <c r="D268" s="53"/>
      <c r="E268" s="54" t="s">
        <v>32</v>
      </c>
      <c r="F268" s="55"/>
      <c r="G268" s="52"/>
      <c r="H268" s="56"/>
      <c r="K268" s="51"/>
      <c r="L268" s="52"/>
      <c r="M268" s="53"/>
      <c r="N268" s="54" t="s">
        <v>32</v>
      </c>
      <c r="O268" s="55"/>
      <c r="P268" s="52"/>
      <c r="Q268" s="56"/>
      <c r="T268" s="51"/>
      <c r="U268" s="52"/>
      <c r="V268" s="53"/>
      <c r="W268" s="54" t="s">
        <v>32</v>
      </c>
      <c r="X268" s="55"/>
      <c r="Y268" s="52"/>
      <c r="Z268" s="56"/>
      <c r="AC268" s="51"/>
      <c r="AD268" s="52"/>
      <c r="AE268" s="53"/>
      <c r="AF268" s="54" t="s">
        <v>32</v>
      </c>
      <c r="AG268" s="55"/>
      <c r="AH268" s="52"/>
      <c r="AI268" s="56"/>
      <c r="AL268" s="51"/>
      <c r="AM268" s="52"/>
      <c r="AN268" s="53"/>
      <c r="AO268" s="54" t="s">
        <v>32</v>
      </c>
      <c r="AP268" s="55"/>
      <c r="AQ268" s="52"/>
      <c r="AR268" s="56"/>
      <c r="AU268" s="51"/>
      <c r="AV268" s="52"/>
      <c r="AW268" s="53"/>
      <c r="AX268" s="54" t="s">
        <v>32</v>
      </c>
      <c r="AY268" s="55"/>
      <c r="AZ268" s="52"/>
      <c r="BA268" s="56"/>
      <c r="BD268" s="51"/>
      <c r="BE268" s="52"/>
      <c r="BF268" s="53"/>
      <c r="BG268" s="54" t="s">
        <v>32</v>
      </c>
      <c r="BH268" s="55"/>
      <c r="BI268" s="52"/>
      <c r="BJ268" s="56"/>
    </row>
    <row r="270" spans="4:62" ht="15" customHeight="1">
      <c r="D270" s="22"/>
      <c r="E270" s="22"/>
      <c r="F270" s="21" t="s">
        <v>37</v>
      </c>
      <c r="G270" s="30"/>
      <c r="H270" s="30"/>
      <c r="M270" s="22"/>
      <c r="N270" s="22"/>
      <c r="O270" s="21" t="s">
        <v>37</v>
      </c>
      <c r="P270" s="30"/>
      <c r="Q270" s="30"/>
      <c r="V270" s="22"/>
      <c r="W270" s="22"/>
      <c r="X270" s="21" t="s">
        <v>37</v>
      </c>
      <c r="Y270" s="30"/>
      <c r="Z270" s="30"/>
      <c r="AE270" s="22"/>
      <c r="AF270" s="22"/>
      <c r="AG270" s="21" t="s">
        <v>37</v>
      </c>
      <c r="AH270" s="30"/>
      <c r="AI270" s="30"/>
      <c r="AN270" s="22"/>
      <c r="AO270" s="22"/>
      <c r="AP270" s="21" t="s">
        <v>37</v>
      </c>
      <c r="AQ270" s="30"/>
      <c r="AR270" s="30"/>
      <c r="AW270" s="22"/>
      <c r="AX270" s="22"/>
      <c r="AY270" s="21" t="s">
        <v>37</v>
      </c>
      <c r="AZ270" s="30"/>
      <c r="BA270" s="30"/>
      <c r="BF270" s="22"/>
      <c r="BG270" s="22"/>
      <c r="BH270" s="21" t="s">
        <v>37</v>
      </c>
      <c r="BI270" s="30"/>
      <c r="BJ270" s="30"/>
    </row>
    <row r="271" spans="2:64" ht="15" customHeight="1">
      <c r="B271" s="23" t="str">
        <f>'★個人成績表★'!$A$1</f>
        <v>第28回　京阪神和奈滋対抗戦　　　(大阪；玉出エース)</v>
      </c>
      <c r="C271" s="36"/>
      <c r="D271" s="36"/>
      <c r="E271" s="36"/>
      <c r="F271" s="36"/>
      <c r="G271" s="36"/>
      <c r="H271" s="37"/>
      <c r="K271" s="23" t="str">
        <f>'★個人成績表★'!$A$1</f>
        <v>第28回　京阪神和奈滋対抗戦　　　(大阪；玉出エース)</v>
      </c>
      <c r="L271" s="36"/>
      <c r="M271" s="36"/>
      <c r="N271" s="36"/>
      <c r="O271" s="36"/>
      <c r="P271" s="36"/>
      <c r="Q271" s="37"/>
      <c r="T271" s="23" t="str">
        <f>'★個人成績表★'!$A$1</f>
        <v>第28回　京阪神和奈滋対抗戦　　　(大阪；玉出エース)</v>
      </c>
      <c r="U271" s="36"/>
      <c r="V271" s="36"/>
      <c r="W271" s="36"/>
      <c r="X271" s="36"/>
      <c r="Y271" s="36"/>
      <c r="Z271" s="37"/>
      <c r="AC271" s="23" t="str">
        <f>'★個人成績表★'!$A$1</f>
        <v>第28回　京阪神和奈滋対抗戦　　　(大阪；玉出エース)</v>
      </c>
      <c r="AD271" s="36"/>
      <c r="AE271" s="36"/>
      <c r="AF271" s="36"/>
      <c r="AG271" s="36"/>
      <c r="AH271" s="36"/>
      <c r="AI271" s="37"/>
      <c r="AL271" s="23" t="str">
        <f>'★個人成績表★'!$A$1</f>
        <v>第28回　京阪神和奈滋対抗戦　　　(大阪；玉出エース)</v>
      </c>
      <c r="AM271" s="36"/>
      <c r="AN271" s="36"/>
      <c r="AO271" s="36"/>
      <c r="AP271" s="36"/>
      <c r="AQ271" s="36"/>
      <c r="AR271" s="37"/>
      <c r="AU271" s="23" t="str">
        <f>'★個人成績表★'!$A$1</f>
        <v>第28回　京阪神和奈滋対抗戦　　　(大阪；玉出エース)</v>
      </c>
      <c r="AV271" s="36"/>
      <c r="AW271" s="36"/>
      <c r="AX271" s="36"/>
      <c r="AY271" s="36"/>
      <c r="AZ271" s="36"/>
      <c r="BA271" s="37"/>
      <c r="BD271" s="23" t="str">
        <f>'★個人成績表★'!$A$1</f>
        <v>第28回　京阪神和奈滋対抗戦　　　(大阪；玉出エース)</v>
      </c>
      <c r="BE271" s="36"/>
      <c r="BF271" s="36"/>
      <c r="BG271" s="36"/>
      <c r="BH271" s="36"/>
      <c r="BI271" s="36"/>
      <c r="BJ271" s="37"/>
      <c r="BL271" t="s">
        <v>33</v>
      </c>
    </row>
    <row r="273" spans="2:61" s="38" customFormat="1" ht="15" customHeight="1">
      <c r="B273" s="22" t="s">
        <v>35</v>
      </c>
      <c r="C273" s="30">
        <f>BE263+1</f>
        <v>183</v>
      </c>
      <c r="F273" s="22" t="s">
        <v>36</v>
      </c>
      <c r="G273" s="30"/>
      <c r="K273" s="22" t="s">
        <v>35</v>
      </c>
      <c r="L273" s="30">
        <f>C273+1</f>
        <v>184</v>
      </c>
      <c r="O273" s="22" t="s">
        <v>36</v>
      </c>
      <c r="P273" s="30"/>
      <c r="T273" s="22" t="s">
        <v>35</v>
      </c>
      <c r="U273" s="30">
        <f>L273+1</f>
        <v>185</v>
      </c>
      <c r="X273" s="22" t="s">
        <v>36</v>
      </c>
      <c r="Y273" s="30"/>
      <c r="AC273" s="22" t="s">
        <v>35</v>
      </c>
      <c r="AD273" s="30">
        <f>U273+1</f>
        <v>186</v>
      </c>
      <c r="AG273" s="22" t="s">
        <v>36</v>
      </c>
      <c r="AH273" s="30"/>
      <c r="AL273" s="22" t="s">
        <v>35</v>
      </c>
      <c r="AM273" s="30">
        <f>AD273+1</f>
        <v>187</v>
      </c>
      <c r="AP273" s="22" t="s">
        <v>36</v>
      </c>
      <c r="AQ273" s="30"/>
      <c r="AU273" s="22" t="s">
        <v>35</v>
      </c>
      <c r="AV273" s="30">
        <f>AM273+1</f>
        <v>188</v>
      </c>
      <c r="AY273" s="22" t="s">
        <v>36</v>
      </c>
      <c r="AZ273" s="30"/>
      <c r="BD273" s="22" t="s">
        <v>35</v>
      </c>
      <c r="BE273" s="30">
        <f>AV273+1</f>
        <v>189</v>
      </c>
      <c r="BH273" s="22" t="s">
        <v>36</v>
      </c>
      <c r="BI273" s="30"/>
    </row>
    <row r="274" ht="15" customHeight="1" thickBot="1"/>
    <row r="275" spans="2:62" ht="31.5" customHeight="1">
      <c r="B275" s="39" t="str">
        <f>VLOOKUP(C273,'結果入力表'!$B$2:$J$212,2,FALSE)</f>
        <v>KRC</v>
      </c>
      <c r="C275" s="40"/>
      <c r="D275" s="41"/>
      <c r="E275" s="42" t="s">
        <v>29</v>
      </c>
      <c r="F275" s="43" t="str">
        <f>VLOOKUP(C273,'結果入力表'!$B$2:$J$212,9,FALSE)</f>
        <v>ORC</v>
      </c>
      <c r="G275" s="40"/>
      <c r="H275" s="44"/>
      <c r="K275" s="39" t="str">
        <f>VLOOKUP(L273,'結果入力表'!$B$2:$J$212,2,FALSE)</f>
        <v>KRC</v>
      </c>
      <c r="L275" s="40"/>
      <c r="M275" s="41"/>
      <c r="N275" s="42" t="s">
        <v>29</v>
      </c>
      <c r="O275" s="43" t="str">
        <f>VLOOKUP(L273,'結果入力表'!$B$2:$J$212,9,FALSE)</f>
        <v>ORC</v>
      </c>
      <c r="P275" s="40"/>
      <c r="Q275" s="44"/>
      <c r="T275" s="39" t="str">
        <f>VLOOKUP(U273,'結果入力表'!$B$2:$J$212,2,FALSE)</f>
        <v>KRC</v>
      </c>
      <c r="U275" s="40"/>
      <c r="V275" s="41"/>
      <c r="W275" s="42" t="s">
        <v>29</v>
      </c>
      <c r="X275" s="43" t="str">
        <f>VLOOKUP(U273,'結果入力表'!$B$2:$J$212,9,FALSE)</f>
        <v>ORC</v>
      </c>
      <c r="Y275" s="40"/>
      <c r="Z275" s="44"/>
      <c r="AC275" s="39" t="str">
        <f>VLOOKUP(AD273,'結果入力表'!$B$2:$J$212,2,FALSE)</f>
        <v>KRC</v>
      </c>
      <c r="AD275" s="40"/>
      <c r="AE275" s="41"/>
      <c r="AF275" s="42" t="s">
        <v>29</v>
      </c>
      <c r="AG275" s="43" t="str">
        <f>VLOOKUP(AD273,'結果入力表'!$B$2:$J$212,9,FALSE)</f>
        <v>ORC</v>
      </c>
      <c r="AH275" s="40"/>
      <c r="AI275" s="44"/>
      <c r="AL275" s="39" t="str">
        <f>VLOOKUP(AM273,'結果入力表'!$B$2:$J$212,2,FALSE)</f>
        <v>KRC</v>
      </c>
      <c r="AM275" s="40"/>
      <c r="AN275" s="41"/>
      <c r="AO275" s="42" t="s">
        <v>29</v>
      </c>
      <c r="AP275" s="43" t="str">
        <f>VLOOKUP(AM273,'結果入力表'!$B$2:$J$212,9,FALSE)</f>
        <v>ORC</v>
      </c>
      <c r="AQ275" s="40"/>
      <c r="AR275" s="44"/>
      <c r="AU275" s="39" t="str">
        <f>VLOOKUP(AV273,'結果入力表'!$B$2:$J$212,2,FALSE)</f>
        <v>KRC</v>
      </c>
      <c r="AV275" s="40"/>
      <c r="AW275" s="41"/>
      <c r="AX275" s="42" t="s">
        <v>29</v>
      </c>
      <c r="AY275" s="43" t="str">
        <f>VLOOKUP(AV273,'結果入力表'!$B$2:$J$212,9,FALSE)</f>
        <v>ORC</v>
      </c>
      <c r="AZ275" s="40"/>
      <c r="BA275" s="44"/>
      <c r="BD275" s="39" t="str">
        <f>VLOOKUP(BE273,'結果入力表'!$B$2:$J$212,2,FALSE)</f>
        <v>KRC</v>
      </c>
      <c r="BE275" s="40"/>
      <c r="BF275" s="41"/>
      <c r="BG275" s="42" t="s">
        <v>29</v>
      </c>
      <c r="BH275" s="43" t="str">
        <f>VLOOKUP(BE273,'結果入力表'!$B$2:$J$212,9,FALSE)</f>
        <v>ORC</v>
      </c>
      <c r="BI275" s="40"/>
      <c r="BJ275" s="44"/>
    </row>
    <row r="276" spans="2:62" ht="46.5" customHeight="1">
      <c r="B276" s="438" t="str">
        <f>VLOOKUP(C273,'結果入力表'!$B$2:$J$212,3,FALSE)</f>
        <v>折戸 和幸</v>
      </c>
      <c r="C276" s="19"/>
      <c r="D276" s="20"/>
      <c r="E276" s="46" t="s">
        <v>30</v>
      </c>
      <c r="F276" s="437" t="str">
        <f>VLOOKUP(C273,'結果入力表'!$B$2:$J$212,8,FALSE)</f>
        <v>吉岡 保俊</v>
      </c>
      <c r="G276" s="19"/>
      <c r="H276" s="48"/>
      <c r="K276" s="438" t="str">
        <f>VLOOKUP(L273,'結果入力表'!$B$2:$J$212,3,FALSE)</f>
        <v>今村 哲也</v>
      </c>
      <c r="L276" s="19"/>
      <c r="M276" s="20"/>
      <c r="N276" s="46" t="s">
        <v>30</v>
      </c>
      <c r="O276" s="437" t="str">
        <f>VLOOKUP(L273,'結果入力表'!$B$2:$J$212,8,FALSE)</f>
        <v>山田 玄英</v>
      </c>
      <c r="P276" s="19"/>
      <c r="Q276" s="48"/>
      <c r="T276" s="438" t="str">
        <f>VLOOKUP(U273,'結果入力表'!$B$2:$J$212,3,FALSE)</f>
        <v>小山 久博</v>
      </c>
      <c r="U276" s="19"/>
      <c r="V276" s="20"/>
      <c r="W276" s="46" t="s">
        <v>30</v>
      </c>
      <c r="X276" s="437" t="str">
        <f>VLOOKUP(U273,'結果入力表'!$B$2:$J$212,8,FALSE)</f>
        <v>由本　拓</v>
      </c>
      <c r="Y276" s="19"/>
      <c r="Z276" s="48"/>
      <c r="AC276" s="438" t="str">
        <f>VLOOKUP(AD273,'結果入力表'!$B$2:$J$212,3,FALSE)</f>
        <v>伊庭 保久</v>
      </c>
      <c r="AD276" s="19"/>
      <c r="AE276" s="20"/>
      <c r="AF276" s="46" t="s">
        <v>30</v>
      </c>
      <c r="AG276" s="437" t="str">
        <f>VLOOKUP(AD273,'結果入力表'!$B$2:$J$212,8,FALSE)</f>
        <v>田中 隆介</v>
      </c>
      <c r="AH276" s="19"/>
      <c r="AI276" s="48"/>
      <c r="AL276" s="438" t="str">
        <f>VLOOKUP(AM273,'結果入力表'!$B$2:$J$212,3,FALSE)</f>
        <v>菊池 靖正</v>
      </c>
      <c r="AM276" s="19"/>
      <c r="AN276" s="20"/>
      <c r="AO276" s="46" t="s">
        <v>30</v>
      </c>
      <c r="AP276" s="437" t="str">
        <f>VLOOKUP(AM273,'結果入力表'!$B$2:$J$212,8,FALSE)</f>
        <v>西田 恵子</v>
      </c>
      <c r="AQ276" s="19"/>
      <c r="AR276" s="48"/>
      <c r="AU276" s="438" t="str">
        <f>VLOOKUP(AV273,'結果入力表'!$B$2:$J$212,3,FALSE)</f>
        <v>田附 裕次</v>
      </c>
      <c r="AV276" s="19"/>
      <c r="AW276" s="20"/>
      <c r="AX276" s="46" t="s">
        <v>30</v>
      </c>
      <c r="AY276" s="437" t="str">
        <f>VLOOKUP(AV273,'結果入力表'!$B$2:$J$212,8,FALSE)</f>
        <v>村上 泰辰</v>
      </c>
      <c r="AZ276" s="19"/>
      <c r="BA276" s="48"/>
      <c r="BD276" s="438" t="str">
        <f>VLOOKUP(BE273,'結果入力表'!$B$2:$J$212,3,FALSE)</f>
        <v>森田由佳里</v>
      </c>
      <c r="BE276" s="19"/>
      <c r="BF276" s="20"/>
      <c r="BG276" s="46" t="s">
        <v>30</v>
      </c>
      <c r="BH276" s="437" t="str">
        <f>VLOOKUP(BE273,'結果入力表'!$B$2:$J$212,8,FALSE)</f>
        <v>乾　伸綱</v>
      </c>
      <c r="BI276" s="19"/>
      <c r="BJ276" s="48"/>
    </row>
    <row r="277" spans="2:62" ht="37.5" customHeight="1">
      <c r="B277" s="49"/>
      <c r="C277" s="19"/>
      <c r="D277" s="20"/>
      <c r="E277" s="46" t="s">
        <v>31</v>
      </c>
      <c r="F277" s="50"/>
      <c r="G277" s="19"/>
      <c r="H277" s="48"/>
      <c r="K277" s="49"/>
      <c r="L277" s="19"/>
      <c r="M277" s="20"/>
      <c r="N277" s="46" t="s">
        <v>31</v>
      </c>
      <c r="O277" s="50"/>
      <c r="P277" s="19"/>
      <c r="Q277" s="48"/>
      <c r="T277" s="49"/>
      <c r="U277" s="19"/>
      <c r="V277" s="20"/>
      <c r="W277" s="46" t="s">
        <v>31</v>
      </c>
      <c r="X277" s="50"/>
      <c r="Y277" s="19"/>
      <c r="Z277" s="48"/>
      <c r="AC277" s="49"/>
      <c r="AD277" s="19"/>
      <c r="AE277" s="20"/>
      <c r="AF277" s="46" t="s">
        <v>31</v>
      </c>
      <c r="AG277" s="50"/>
      <c r="AH277" s="19"/>
      <c r="AI277" s="48"/>
      <c r="AL277" s="49"/>
      <c r="AM277" s="19"/>
      <c r="AN277" s="20"/>
      <c r="AO277" s="46" t="s">
        <v>31</v>
      </c>
      <c r="AP277" s="50"/>
      <c r="AQ277" s="19"/>
      <c r="AR277" s="48"/>
      <c r="AU277" s="49"/>
      <c r="AV277" s="19"/>
      <c r="AW277" s="20"/>
      <c r="AX277" s="46" t="s">
        <v>31</v>
      </c>
      <c r="AY277" s="50"/>
      <c r="AZ277" s="19"/>
      <c r="BA277" s="48"/>
      <c r="BD277" s="49"/>
      <c r="BE277" s="19"/>
      <c r="BF277" s="20"/>
      <c r="BG277" s="46" t="s">
        <v>31</v>
      </c>
      <c r="BH277" s="50"/>
      <c r="BI277" s="19"/>
      <c r="BJ277" s="48"/>
    </row>
    <row r="278" spans="2:62" ht="37.5" customHeight="1" thickBot="1">
      <c r="B278" s="51"/>
      <c r="C278" s="52"/>
      <c r="D278" s="53"/>
      <c r="E278" s="54" t="s">
        <v>32</v>
      </c>
      <c r="F278" s="55"/>
      <c r="G278" s="52"/>
      <c r="H278" s="56"/>
      <c r="K278" s="51"/>
      <c r="L278" s="52"/>
      <c r="M278" s="53"/>
      <c r="N278" s="54" t="s">
        <v>32</v>
      </c>
      <c r="O278" s="55"/>
      <c r="P278" s="52"/>
      <c r="Q278" s="56"/>
      <c r="T278" s="51"/>
      <c r="U278" s="52"/>
      <c r="V278" s="53"/>
      <c r="W278" s="54" t="s">
        <v>32</v>
      </c>
      <c r="X278" s="55"/>
      <c r="Y278" s="52"/>
      <c r="Z278" s="56"/>
      <c r="AC278" s="51"/>
      <c r="AD278" s="52"/>
      <c r="AE278" s="53"/>
      <c r="AF278" s="54" t="s">
        <v>32</v>
      </c>
      <c r="AG278" s="55"/>
      <c r="AH278" s="52"/>
      <c r="AI278" s="56"/>
      <c r="AL278" s="51"/>
      <c r="AM278" s="52"/>
      <c r="AN278" s="53"/>
      <c r="AO278" s="54" t="s">
        <v>32</v>
      </c>
      <c r="AP278" s="55"/>
      <c r="AQ278" s="52"/>
      <c r="AR278" s="56"/>
      <c r="AU278" s="51"/>
      <c r="AV278" s="52"/>
      <c r="AW278" s="53"/>
      <c r="AX278" s="54" t="s">
        <v>32</v>
      </c>
      <c r="AY278" s="55"/>
      <c r="AZ278" s="52"/>
      <c r="BA278" s="56"/>
      <c r="BD278" s="51"/>
      <c r="BE278" s="52"/>
      <c r="BF278" s="53"/>
      <c r="BG278" s="54" t="s">
        <v>32</v>
      </c>
      <c r="BH278" s="55"/>
      <c r="BI278" s="52"/>
      <c r="BJ278" s="56"/>
    </row>
    <row r="280" spans="4:62" ht="15" customHeight="1">
      <c r="D280" s="22"/>
      <c r="E280" s="22"/>
      <c r="F280" s="21" t="s">
        <v>37</v>
      </c>
      <c r="G280" s="30"/>
      <c r="H280" s="30"/>
      <c r="M280" s="22"/>
      <c r="N280" s="22"/>
      <c r="O280" s="21" t="s">
        <v>37</v>
      </c>
      <c r="P280" s="30"/>
      <c r="Q280" s="30"/>
      <c r="V280" s="22"/>
      <c r="W280" s="22"/>
      <c r="X280" s="21" t="s">
        <v>37</v>
      </c>
      <c r="Y280" s="30"/>
      <c r="Z280" s="30"/>
      <c r="AE280" s="22"/>
      <c r="AF280" s="22"/>
      <c r="AG280" s="21" t="s">
        <v>37</v>
      </c>
      <c r="AH280" s="30"/>
      <c r="AI280" s="30"/>
      <c r="AN280" s="22"/>
      <c r="AO280" s="22"/>
      <c r="AP280" s="21" t="s">
        <v>37</v>
      </c>
      <c r="AQ280" s="30"/>
      <c r="AR280" s="30"/>
      <c r="AW280" s="22"/>
      <c r="AX280" s="22"/>
      <c r="AY280" s="21" t="s">
        <v>37</v>
      </c>
      <c r="AZ280" s="30"/>
      <c r="BA280" s="30"/>
      <c r="BF280" s="22"/>
      <c r="BG280" s="22"/>
      <c r="BH280" s="21" t="s">
        <v>37</v>
      </c>
      <c r="BI280" s="30"/>
      <c r="BJ280" s="30"/>
    </row>
    <row r="281" spans="2:64" ht="15" customHeight="1">
      <c r="B281" s="23" t="str">
        <f>'★個人成績表★'!$A$1</f>
        <v>第28回　京阪神和奈滋対抗戦　　　(大阪；玉出エース)</v>
      </c>
      <c r="C281" s="36"/>
      <c r="D281" s="36"/>
      <c r="E281" s="36"/>
      <c r="F281" s="36"/>
      <c r="G281" s="36"/>
      <c r="H281" s="37"/>
      <c r="K281" s="23" t="str">
        <f>'★個人成績表★'!$A$1</f>
        <v>第28回　京阪神和奈滋対抗戦　　　(大阪；玉出エース)</v>
      </c>
      <c r="L281" s="36"/>
      <c r="M281" s="36"/>
      <c r="N281" s="36"/>
      <c r="O281" s="36"/>
      <c r="P281" s="36"/>
      <c r="Q281" s="37"/>
      <c r="T281" s="23" t="str">
        <f>'★個人成績表★'!$A$1</f>
        <v>第28回　京阪神和奈滋対抗戦　　　(大阪；玉出エース)</v>
      </c>
      <c r="U281" s="36"/>
      <c r="V281" s="36"/>
      <c r="W281" s="36"/>
      <c r="X281" s="36"/>
      <c r="Y281" s="36"/>
      <c r="Z281" s="37"/>
      <c r="AC281" s="23" t="str">
        <f>'★個人成績表★'!$A$1</f>
        <v>第28回　京阪神和奈滋対抗戦　　　(大阪；玉出エース)</v>
      </c>
      <c r="AD281" s="36"/>
      <c r="AE281" s="36"/>
      <c r="AF281" s="36"/>
      <c r="AG281" s="36"/>
      <c r="AH281" s="36"/>
      <c r="AI281" s="37"/>
      <c r="AL281" s="23" t="str">
        <f>'★個人成績表★'!$A$1</f>
        <v>第28回　京阪神和奈滋対抗戦　　　(大阪；玉出エース)</v>
      </c>
      <c r="AM281" s="36"/>
      <c r="AN281" s="36"/>
      <c r="AO281" s="36"/>
      <c r="AP281" s="36"/>
      <c r="AQ281" s="36"/>
      <c r="AR281" s="37"/>
      <c r="AU281" s="23" t="str">
        <f>'★個人成績表★'!$A$1</f>
        <v>第28回　京阪神和奈滋対抗戦　　　(大阪；玉出エース)</v>
      </c>
      <c r="AV281" s="36"/>
      <c r="AW281" s="36"/>
      <c r="AX281" s="36"/>
      <c r="AY281" s="36"/>
      <c r="AZ281" s="36"/>
      <c r="BA281" s="37"/>
      <c r="BD281" s="23" t="str">
        <f>'★個人成績表★'!$A$1</f>
        <v>第28回　京阪神和奈滋対抗戦　　　(大阪；玉出エース)</v>
      </c>
      <c r="BE281" s="36"/>
      <c r="BF281" s="36"/>
      <c r="BG281" s="36"/>
      <c r="BH281" s="36"/>
      <c r="BI281" s="36"/>
      <c r="BJ281" s="37"/>
      <c r="BL281" t="s">
        <v>33</v>
      </c>
    </row>
    <row r="283" spans="2:61" s="38" customFormat="1" ht="15" customHeight="1">
      <c r="B283" s="22" t="s">
        <v>35</v>
      </c>
      <c r="C283" s="30">
        <f>BE273+1</f>
        <v>190</v>
      </c>
      <c r="F283" s="22" t="s">
        <v>36</v>
      </c>
      <c r="G283" s="30"/>
      <c r="K283" s="22" t="s">
        <v>35</v>
      </c>
      <c r="L283" s="30">
        <f>C283+1</f>
        <v>191</v>
      </c>
      <c r="O283" s="22" t="s">
        <v>36</v>
      </c>
      <c r="P283" s="30"/>
      <c r="T283" s="22" t="s">
        <v>35</v>
      </c>
      <c r="U283" s="30">
        <f>L283+1</f>
        <v>192</v>
      </c>
      <c r="X283" s="22" t="s">
        <v>36</v>
      </c>
      <c r="Y283" s="30"/>
      <c r="AC283" s="22" t="s">
        <v>35</v>
      </c>
      <c r="AD283" s="30">
        <f>U283+1</f>
        <v>193</v>
      </c>
      <c r="AG283" s="22" t="s">
        <v>36</v>
      </c>
      <c r="AH283" s="30"/>
      <c r="AL283" s="22" t="s">
        <v>35</v>
      </c>
      <c r="AM283" s="30">
        <f>AD283+1</f>
        <v>194</v>
      </c>
      <c r="AP283" s="22" t="s">
        <v>36</v>
      </c>
      <c r="AQ283" s="30"/>
      <c r="AU283" s="22" t="s">
        <v>35</v>
      </c>
      <c r="AV283" s="30">
        <f>AM283+1</f>
        <v>195</v>
      </c>
      <c r="AY283" s="22" t="s">
        <v>36</v>
      </c>
      <c r="AZ283" s="30"/>
      <c r="BD283" s="22" t="s">
        <v>35</v>
      </c>
      <c r="BE283" s="30">
        <f>AV283+1</f>
        <v>196</v>
      </c>
      <c r="BH283" s="22" t="s">
        <v>36</v>
      </c>
      <c r="BI283" s="30"/>
    </row>
    <row r="284" ht="15" customHeight="1" thickBot="1"/>
    <row r="285" spans="2:62" ht="31.5" customHeight="1">
      <c r="B285" s="39" t="str">
        <f>VLOOKUP(C283,'結果入力表'!$B$2:$J$212,2,FALSE)</f>
        <v>NRC</v>
      </c>
      <c r="C285" s="40"/>
      <c r="D285" s="41"/>
      <c r="E285" s="42" t="s">
        <v>29</v>
      </c>
      <c r="F285" s="43" t="str">
        <f>VLOOKUP(C283,'結果入力表'!$B$2:$J$212,9,FALSE)</f>
        <v>SBC</v>
      </c>
      <c r="G285" s="40"/>
      <c r="H285" s="44"/>
      <c r="K285" s="39" t="str">
        <f>VLOOKUP(L283,'結果入力表'!$B$2:$J$212,2,FALSE)</f>
        <v>NRC</v>
      </c>
      <c r="L285" s="40"/>
      <c r="M285" s="41"/>
      <c r="N285" s="42" t="s">
        <v>29</v>
      </c>
      <c r="O285" s="43" t="str">
        <f>VLOOKUP(L283,'結果入力表'!$B$2:$J$212,9,FALSE)</f>
        <v>SBC</v>
      </c>
      <c r="P285" s="40"/>
      <c r="Q285" s="44"/>
      <c r="T285" s="39" t="str">
        <f>VLOOKUP(U283,'結果入力表'!$B$2:$J$212,2,FALSE)</f>
        <v>NRC</v>
      </c>
      <c r="U285" s="40"/>
      <c r="V285" s="41"/>
      <c r="W285" s="42" t="s">
        <v>29</v>
      </c>
      <c r="X285" s="43" t="str">
        <f>VLOOKUP(U283,'結果入力表'!$B$2:$J$212,9,FALSE)</f>
        <v>SBC</v>
      </c>
      <c r="Y285" s="40"/>
      <c r="Z285" s="44"/>
      <c r="AC285" s="39" t="str">
        <f>VLOOKUP(AD283,'結果入力表'!$B$2:$J$212,2,FALSE)</f>
        <v>NRC</v>
      </c>
      <c r="AD285" s="40"/>
      <c r="AE285" s="41"/>
      <c r="AF285" s="42" t="s">
        <v>29</v>
      </c>
      <c r="AG285" s="43" t="str">
        <f>VLOOKUP(AD283,'結果入力表'!$B$2:$J$212,9,FALSE)</f>
        <v>SBC</v>
      </c>
      <c r="AH285" s="40"/>
      <c r="AI285" s="44"/>
      <c r="AL285" s="39" t="str">
        <f>VLOOKUP(AM283,'結果入力表'!$B$2:$J$212,2,FALSE)</f>
        <v>NRC</v>
      </c>
      <c r="AM285" s="40"/>
      <c r="AN285" s="41"/>
      <c r="AO285" s="42" t="s">
        <v>29</v>
      </c>
      <c r="AP285" s="43" t="str">
        <f>VLOOKUP(AM283,'結果入力表'!$B$2:$J$212,9,FALSE)</f>
        <v>SBC</v>
      </c>
      <c r="AQ285" s="40"/>
      <c r="AR285" s="44"/>
      <c r="AU285" s="39" t="str">
        <f>VLOOKUP(AV283,'結果入力表'!$B$2:$J$212,2,FALSE)</f>
        <v>NRC</v>
      </c>
      <c r="AV285" s="40"/>
      <c r="AW285" s="41"/>
      <c r="AX285" s="42" t="s">
        <v>29</v>
      </c>
      <c r="AY285" s="43" t="str">
        <f>VLOOKUP(AV283,'結果入力表'!$B$2:$J$212,9,FALSE)</f>
        <v>SBC</v>
      </c>
      <c r="AZ285" s="40"/>
      <c r="BA285" s="44"/>
      <c r="BD285" s="39" t="str">
        <f>VLOOKUP(BE283,'結果入力表'!$B$2:$J$212,2,FALSE)</f>
        <v>NRC</v>
      </c>
      <c r="BE285" s="40"/>
      <c r="BF285" s="41"/>
      <c r="BG285" s="42" t="s">
        <v>29</v>
      </c>
      <c r="BH285" s="43" t="str">
        <f>VLOOKUP(BE283,'結果入力表'!$B$2:$J$212,9,FALSE)</f>
        <v>SBC</v>
      </c>
      <c r="BI285" s="40"/>
      <c r="BJ285" s="44"/>
    </row>
    <row r="286" spans="2:62" ht="46.5" customHeight="1">
      <c r="B286" s="438" t="str">
        <f>VLOOKUP(C283,'結果入力表'!$B$2:$J$212,3,FALSE)</f>
        <v>山田 普之</v>
      </c>
      <c r="C286" s="19"/>
      <c r="D286" s="20"/>
      <c r="E286" s="46" t="s">
        <v>30</v>
      </c>
      <c r="F286" s="437" t="str">
        <f>VLOOKUP(C283,'結果入力表'!$B$2:$J$212,8,FALSE)</f>
        <v>高島 太一</v>
      </c>
      <c r="G286" s="19"/>
      <c r="H286" s="48"/>
      <c r="K286" s="438" t="str">
        <f>VLOOKUP(L283,'結果入力表'!$B$2:$J$212,3,FALSE)</f>
        <v>山田 晃司</v>
      </c>
      <c r="L286" s="19"/>
      <c r="M286" s="20"/>
      <c r="N286" s="46" t="s">
        <v>30</v>
      </c>
      <c r="O286" s="437" t="str">
        <f>VLOOKUP(L283,'結果入力表'!$B$2:$J$212,8,FALSE)</f>
        <v>須藤 浩章</v>
      </c>
      <c r="P286" s="19"/>
      <c r="Q286" s="48"/>
      <c r="T286" s="438" t="str">
        <f>VLOOKUP(U283,'結果入力表'!$B$2:$J$212,3,FALSE)</f>
        <v>長谷川 進</v>
      </c>
      <c r="U286" s="19"/>
      <c r="V286" s="20"/>
      <c r="W286" s="46" t="s">
        <v>30</v>
      </c>
      <c r="X286" s="437" t="str">
        <f>VLOOKUP(U283,'結果入力表'!$B$2:$J$212,8,FALSE)</f>
        <v>酒井 美希</v>
      </c>
      <c r="Y286" s="19"/>
      <c r="Z286" s="48"/>
      <c r="AC286" s="438" t="str">
        <f>VLOOKUP(AD283,'結果入力表'!$B$2:$J$212,3,FALSE)</f>
        <v>宮野 早織</v>
      </c>
      <c r="AD286" s="19"/>
      <c r="AE286" s="20"/>
      <c r="AF286" s="46" t="s">
        <v>30</v>
      </c>
      <c r="AG286" s="437" t="str">
        <f>VLOOKUP(AD283,'結果入力表'!$B$2:$J$212,8,FALSE)</f>
        <v>西峰 久祐</v>
      </c>
      <c r="AH286" s="19"/>
      <c r="AI286" s="48"/>
      <c r="AL286" s="438" t="str">
        <f>VLOOKUP(AM283,'結果入力表'!$B$2:$J$212,3,FALSE)</f>
        <v>白戸 玲人</v>
      </c>
      <c r="AM286" s="19"/>
      <c r="AN286" s="20"/>
      <c r="AO286" s="46" t="s">
        <v>30</v>
      </c>
      <c r="AP286" s="437" t="str">
        <f>VLOOKUP(AM283,'結果入力表'!$B$2:$J$212,8,FALSE)</f>
        <v>長田 智紀</v>
      </c>
      <c r="AQ286" s="19"/>
      <c r="AR286" s="48"/>
      <c r="AU286" s="438" t="str">
        <f>VLOOKUP(AV283,'結果入力表'!$B$2:$J$212,3,FALSE)</f>
        <v>近藤 拓馬</v>
      </c>
      <c r="AV286" s="19"/>
      <c r="AW286" s="20"/>
      <c r="AX286" s="46" t="s">
        <v>30</v>
      </c>
      <c r="AY286" s="437" t="str">
        <f>VLOOKUP(AV283,'結果入力表'!$B$2:$J$212,8,FALSE)</f>
        <v>大橋 義治</v>
      </c>
      <c r="AZ286" s="19"/>
      <c r="BA286" s="48"/>
      <c r="BD286" s="438" t="str">
        <f>VLOOKUP(BE283,'結果入力表'!$B$2:$J$212,3,FALSE)</f>
        <v>吉向 翔平</v>
      </c>
      <c r="BE286" s="19"/>
      <c r="BF286" s="20"/>
      <c r="BG286" s="46" t="s">
        <v>30</v>
      </c>
      <c r="BH286" s="437" t="str">
        <f>VLOOKUP(BE283,'結果入力表'!$B$2:$J$212,8,FALSE)</f>
        <v>山中 康寛</v>
      </c>
      <c r="BI286" s="19"/>
      <c r="BJ286" s="48"/>
    </row>
    <row r="287" spans="2:62" ht="37.5" customHeight="1">
      <c r="B287" s="49"/>
      <c r="C287" s="19"/>
      <c r="D287" s="20"/>
      <c r="E287" s="46" t="s">
        <v>31</v>
      </c>
      <c r="F287" s="50"/>
      <c r="G287" s="19"/>
      <c r="H287" s="48"/>
      <c r="K287" s="49"/>
      <c r="L287" s="19"/>
      <c r="M287" s="20"/>
      <c r="N287" s="46" t="s">
        <v>31</v>
      </c>
      <c r="O287" s="50"/>
      <c r="P287" s="19"/>
      <c r="Q287" s="48"/>
      <c r="T287" s="49"/>
      <c r="U287" s="19"/>
      <c r="V287" s="20"/>
      <c r="W287" s="46" t="s">
        <v>31</v>
      </c>
      <c r="X287" s="50"/>
      <c r="Y287" s="19"/>
      <c r="Z287" s="48"/>
      <c r="AC287" s="49"/>
      <c r="AD287" s="19"/>
      <c r="AE287" s="20"/>
      <c r="AF287" s="46" t="s">
        <v>31</v>
      </c>
      <c r="AG287" s="50"/>
      <c r="AH287" s="19"/>
      <c r="AI287" s="48"/>
      <c r="AL287" s="49"/>
      <c r="AM287" s="19"/>
      <c r="AN287" s="20"/>
      <c r="AO287" s="46" t="s">
        <v>31</v>
      </c>
      <c r="AP287" s="50"/>
      <c r="AQ287" s="19"/>
      <c r="AR287" s="48"/>
      <c r="AU287" s="49"/>
      <c r="AV287" s="19"/>
      <c r="AW287" s="20"/>
      <c r="AX287" s="46" t="s">
        <v>31</v>
      </c>
      <c r="AY287" s="50"/>
      <c r="AZ287" s="19"/>
      <c r="BA287" s="48"/>
      <c r="BD287" s="49"/>
      <c r="BE287" s="19"/>
      <c r="BF287" s="20"/>
      <c r="BG287" s="46" t="s">
        <v>31</v>
      </c>
      <c r="BH287" s="50"/>
      <c r="BI287" s="19"/>
      <c r="BJ287" s="48"/>
    </row>
    <row r="288" spans="2:62" ht="37.5" customHeight="1" thickBot="1">
      <c r="B288" s="51"/>
      <c r="C288" s="52"/>
      <c r="D288" s="53"/>
      <c r="E288" s="54" t="s">
        <v>32</v>
      </c>
      <c r="F288" s="55"/>
      <c r="G288" s="52"/>
      <c r="H288" s="56"/>
      <c r="K288" s="51"/>
      <c r="L288" s="52"/>
      <c r="M288" s="53"/>
      <c r="N288" s="54" t="s">
        <v>32</v>
      </c>
      <c r="O288" s="55"/>
      <c r="P288" s="52"/>
      <c r="Q288" s="56"/>
      <c r="T288" s="51"/>
      <c r="U288" s="52"/>
      <c r="V288" s="53"/>
      <c r="W288" s="54" t="s">
        <v>32</v>
      </c>
      <c r="X288" s="55"/>
      <c r="Y288" s="52"/>
      <c r="Z288" s="56"/>
      <c r="AC288" s="51"/>
      <c r="AD288" s="52"/>
      <c r="AE288" s="53"/>
      <c r="AF288" s="54" t="s">
        <v>32</v>
      </c>
      <c r="AG288" s="55"/>
      <c r="AH288" s="52"/>
      <c r="AI288" s="56"/>
      <c r="AL288" s="51"/>
      <c r="AM288" s="52"/>
      <c r="AN288" s="53"/>
      <c r="AO288" s="54" t="s">
        <v>32</v>
      </c>
      <c r="AP288" s="55"/>
      <c r="AQ288" s="52"/>
      <c r="AR288" s="56"/>
      <c r="AU288" s="51"/>
      <c r="AV288" s="52"/>
      <c r="AW288" s="53"/>
      <c r="AX288" s="54" t="s">
        <v>32</v>
      </c>
      <c r="AY288" s="55"/>
      <c r="AZ288" s="52"/>
      <c r="BA288" s="56"/>
      <c r="BD288" s="51"/>
      <c r="BE288" s="52"/>
      <c r="BF288" s="53"/>
      <c r="BG288" s="54" t="s">
        <v>32</v>
      </c>
      <c r="BH288" s="55"/>
      <c r="BI288" s="52"/>
      <c r="BJ288" s="56"/>
    </row>
    <row r="290" spans="4:62" ht="15" customHeight="1">
      <c r="D290" s="22"/>
      <c r="E290" s="22"/>
      <c r="F290" s="21" t="s">
        <v>37</v>
      </c>
      <c r="G290" s="30"/>
      <c r="H290" s="30"/>
      <c r="M290" s="22"/>
      <c r="N290" s="22"/>
      <c r="O290" s="21" t="s">
        <v>37</v>
      </c>
      <c r="P290" s="30"/>
      <c r="Q290" s="30"/>
      <c r="V290" s="22"/>
      <c r="W290" s="22"/>
      <c r="X290" s="21" t="s">
        <v>37</v>
      </c>
      <c r="Y290" s="30"/>
      <c r="Z290" s="30"/>
      <c r="AE290" s="22"/>
      <c r="AF290" s="22"/>
      <c r="AG290" s="21" t="s">
        <v>37</v>
      </c>
      <c r="AH290" s="30"/>
      <c r="AI290" s="30"/>
      <c r="AN290" s="22"/>
      <c r="AO290" s="22"/>
      <c r="AP290" s="21" t="s">
        <v>37</v>
      </c>
      <c r="AQ290" s="30"/>
      <c r="AR290" s="30"/>
      <c r="AW290" s="22"/>
      <c r="AX290" s="22"/>
      <c r="AY290" s="21" t="s">
        <v>37</v>
      </c>
      <c r="AZ290" s="30"/>
      <c r="BA290" s="30"/>
      <c r="BF290" s="22"/>
      <c r="BG290" s="22"/>
      <c r="BH290" s="21" t="s">
        <v>37</v>
      </c>
      <c r="BI290" s="30"/>
      <c r="BJ290" s="30"/>
    </row>
    <row r="291" spans="2:64" ht="15" customHeight="1">
      <c r="B291" s="23" t="str">
        <f>'★個人成績表★'!$A$1</f>
        <v>第28回　京阪神和奈滋対抗戦　　　(大阪；玉出エース)</v>
      </c>
      <c r="C291" s="36"/>
      <c r="D291" s="36"/>
      <c r="E291" s="36"/>
      <c r="F291" s="36"/>
      <c r="G291" s="36"/>
      <c r="H291" s="37"/>
      <c r="K291" s="23" t="str">
        <f>'★個人成績表★'!$A$1</f>
        <v>第28回　京阪神和奈滋対抗戦　　　(大阪；玉出エース)</v>
      </c>
      <c r="L291" s="36"/>
      <c r="M291" s="36"/>
      <c r="N291" s="36"/>
      <c r="O291" s="36"/>
      <c r="P291" s="36"/>
      <c r="Q291" s="37"/>
      <c r="T291" s="23" t="str">
        <f>'★個人成績表★'!$A$1</f>
        <v>第28回　京阪神和奈滋対抗戦　　　(大阪；玉出エース)</v>
      </c>
      <c r="U291" s="36"/>
      <c r="V291" s="36"/>
      <c r="W291" s="36"/>
      <c r="X291" s="36"/>
      <c r="Y291" s="36"/>
      <c r="Z291" s="37"/>
      <c r="AC291" s="23" t="str">
        <f>'★個人成績表★'!$A$1</f>
        <v>第28回　京阪神和奈滋対抗戦　　　(大阪；玉出エース)</v>
      </c>
      <c r="AD291" s="36"/>
      <c r="AE291" s="36"/>
      <c r="AF291" s="36"/>
      <c r="AG291" s="36"/>
      <c r="AH291" s="36"/>
      <c r="AI291" s="37"/>
      <c r="AL291" s="23" t="str">
        <f>'★個人成績表★'!$A$1</f>
        <v>第28回　京阪神和奈滋対抗戦　　　(大阪；玉出エース)</v>
      </c>
      <c r="AM291" s="36"/>
      <c r="AN291" s="36"/>
      <c r="AO291" s="36"/>
      <c r="AP291" s="36"/>
      <c r="AQ291" s="36"/>
      <c r="AR291" s="37"/>
      <c r="AU291" s="23" t="str">
        <f>'★個人成績表★'!$A$1</f>
        <v>第28回　京阪神和奈滋対抗戦　　　(大阪；玉出エース)</v>
      </c>
      <c r="AV291" s="36"/>
      <c r="AW291" s="36"/>
      <c r="AX291" s="36"/>
      <c r="AY291" s="36"/>
      <c r="AZ291" s="36"/>
      <c r="BA291" s="37"/>
      <c r="BD291" s="23" t="str">
        <f>'★個人成績表★'!$A$1</f>
        <v>第28回　京阪神和奈滋対抗戦　　　(大阪；玉出エース)</v>
      </c>
      <c r="BE291" s="36"/>
      <c r="BF291" s="36"/>
      <c r="BG291" s="36"/>
      <c r="BH291" s="36"/>
      <c r="BI291" s="36"/>
      <c r="BJ291" s="37"/>
      <c r="BL291" t="s">
        <v>33</v>
      </c>
    </row>
    <row r="293" spans="2:61" s="38" customFormat="1" ht="15" customHeight="1">
      <c r="B293" s="22" t="s">
        <v>35</v>
      </c>
      <c r="C293" s="30">
        <f>BE283+1</f>
        <v>197</v>
      </c>
      <c r="F293" s="22" t="s">
        <v>36</v>
      </c>
      <c r="G293" s="30"/>
      <c r="K293" s="22" t="s">
        <v>35</v>
      </c>
      <c r="L293" s="30">
        <f>C293+1</f>
        <v>198</v>
      </c>
      <c r="O293" s="22" t="s">
        <v>36</v>
      </c>
      <c r="P293" s="30"/>
      <c r="T293" s="22" t="s">
        <v>35</v>
      </c>
      <c r="U293" s="30">
        <f>L293+1</f>
        <v>199</v>
      </c>
      <c r="X293" s="22" t="s">
        <v>36</v>
      </c>
      <c r="Y293" s="30"/>
      <c r="AC293" s="22" t="s">
        <v>35</v>
      </c>
      <c r="AD293" s="30">
        <f>U293+1</f>
        <v>200</v>
      </c>
      <c r="AG293" s="22" t="s">
        <v>36</v>
      </c>
      <c r="AH293" s="30"/>
      <c r="AL293" s="22" t="s">
        <v>35</v>
      </c>
      <c r="AM293" s="30">
        <f>AD293+1</f>
        <v>201</v>
      </c>
      <c r="AP293" s="22" t="s">
        <v>36</v>
      </c>
      <c r="AQ293" s="30"/>
      <c r="AU293" s="22" t="s">
        <v>35</v>
      </c>
      <c r="AV293" s="30">
        <f>AM293+1</f>
        <v>202</v>
      </c>
      <c r="AY293" s="22" t="s">
        <v>36</v>
      </c>
      <c r="AZ293" s="30"/>
      <c r="BD293" s="22" t="s">
        <v>35</v>
      </c>
      <c r="BE293" s="30">
        <f>AV293+1</f>
        <v>203</v>
      </c>
      <c r="BH293" s="22" t="s">
        <v>36</v>
      </c>
      <c r="BI293" s="30"/>
    </row>
    <row r="294" ht="15" customHeight="1" thickBot="1"/>
    <row r="295" spans="2:62" ht="31.5" customHeight="1">
      <c r="B295" s="39" t="str">
        <f>VLOOKUP(C293,'結果入力表'!$B$2:$J$212,2,FALSE)</f>
        <v>ORC</v>
      </c>
      <c r="C295" s="40"/>
      <c r="D295" s="41"/>
      <c r="E295" s="42" t="s">
        <v>29</v>
      </c>
      <c r="F295" s="43" t="str">
        <f>VLOOKUP(C293,'結果入力表'!$B$2:$J$212,9,FALSE)</f>
        <v>WRC</v>
      </c>
      <c r="G295" s="40"/>
      <c r="H295" s="44"/>
      <c r="K295" s="39" t="str">
        <f>VLOOKUP(L293,'結果入力表'!$B$2:$J$212,2,FALSE)</f>
        <v>ORC</v>
      </c>
      <c r="L295" s="40"/>
      <c r="M295" s="41"/>
      <c r="N295" s="42" t="s">
        <v>29</v>
      </c>
      <c r="O295" s="43" t="str">
        <f>VLOOKUP(L293,'結果入力表'!$B$2:$J$212,9,FALSE)</f>
        <v>WRC</v>
      </c>
      <c r="P295" s="40"/>
      <c r="Q295" s="44"/>
      <c r="T295" s="39" t="str">
        <f>VLOOKUP(U293,'結果入力表'!$B$2:$J$212,2,FALSE)</f>
        <v>ORC</v>
      </c>
      <c r="U295" s="40"/>
      <c r="V295" s="41"/>
      <c r="W295" s="42" t="s">
        <v>29</v>
      </c>
      <c r="X295" s="43" t="str">
        <f>VLOOKUP(U293,'結果入力表'!$B$2:$J$212,9,FALSE)</f>
        <v>WRC</v>
      </c>
      <c r="Y295" s="40"/>
      <c r="Z295" s="44"/>
      <c r="AC295" s="39" t="str">
        <f>VLOOKUP(AD293,'結果入力表'!$B$2:$J$212,2,FALSE)</f>
        <v>ORC</v>
      </c>
      <c r="AD295" s="40"/>
      <c r="AE295" s="41"/>
      <c r="AF295" s="42" t="s">
        <v>29</v>
      </c>
      <c r="AG295" s="43" t="str">
        <f>VLOOKUP(AD293,'結果入力表'!$B$2:$J$212,9,FALSE)</f>
        <v>WRC</v>
      </c>
      <c r="AH295" s="40"/>
      <c r="AI295" s="44"/>
      <c r="AL295" s="39" t="str">
        <f>VLOOKUP(AM293,'結果入力表'!$B$2:$J$212,2,FALSE)</f>
        <v>ORC</v>
      </c>
      <c r="AM295" s="40"/>
      <c r="AN295" s="41"/>
      <c r="AO295" s="42" t="s">
        <v>29</v>
      </c>
      <c r="AP295" s="43" t="str">
        <f>VLOOKUP(AM293,'結果入力表'!$B$2:$J$212,9,FALSE)</f>
        <v>WRC</v>
      </c>
      <c r="AQ295" s="40"/>
      <c r="AR295" s="44"/>
      <c r="AU295" s="39" t="str">
        <f>VLOOKUP(AV293,'結果入力表'!$B$2:$J$212,2,FALSE)</f>
        <v>ORC</v>
      </c>
      <c r="AV295" s="40"/>
      <c r="AW295" s="41"/>
      <c r="AX295" s="42" t="s">
        <v>29</v>
      </c>
      <c r="AY295" s="43" t="str">
        <f>VLOOKUP(AV293,'結果入力表'!$B$2:$J$212,9,FALSE)</f>
        <v>WRC</v>
      </c>
      <c r="AZ295" s="40"/>
      <c r="BA295" s="44"/>
      <c r="BD295" s="39" t="str">
        <f>VLOOKUP(BE293,'結果入力表'!$B$2:$J$212,2,FALSE)</f>
        <v>ORC</v>
      </c>
      <c r="BE295" s="40"/>
      <c r="BF295" s="41"/>
      <c r="BG295" s="42" t="s">
        <v>29</v>
      </c>
      <c r="BH295" s="43" t="str">
        <f>VLOOKUP(BE293,'結果入力表'!$B$2:$J$212,9,FALSE)</f>
        <v>WRC</v>
      </c>
      <c r="BI295" s="40"/>
      <c r="BJ295" s="44"/>
    </row>
    <row r="296" spans="2:62" ht="46.5" customHeight="1">
      <c r="B296" s="438" t="str">
        <f>VLOOKUP(C293,'結果入力表'!$B$2:$J$212,3,FALSE)</f>
        <v>吉岡 保俊</v>
      </c>
      <c r="C296" s="19"/>
      <c r="D296" s="20"/>
      <c r="E296" s="46" t="s">
        <v>30</v>
      </c>
      <c r="F296" s="437" t="str">
        <f>VLOOKUP(C293,'結果入力表'!$B$2:$J$212,8,FALSE)</f>
        <v>中本 雅大</v>
      </c>
      <c r="G296" s="19"/>
      <c r="H296" s="48"/>
      <c r="K296" s="438" t="str">
        <f>VLOOKUP(L293,'結果入力表'!$B$2:$J$212,3,FALSE)</f>
        <v>山田 玄英</v>
      </c>
      <c r="L296" s="19"/>
      <c r="M296" s="20"/>
      <c r="N296" s="46" t="s">
        <v>30</v>
      </c>
      <c r="O296" s="437" t="str">
        <f>VLOOKUP(L293,'結果入力表'!$B$2:$J$212,8,FALSE)</f>
        <v>松房ゆかり</v>
      </c>
      <c r="P296" s="19"/>
      <c r="Q296" s="48"/>
      <c r="T296" s="438" t="str">
        <f>VLOOKUP(U293,'結果入力表'!$B$2:$J$212,3,FALSE)</f>
        <v>由本　拓</v>
      </c>
      <c r="U296" s="19"/>
      <c r="V296" s="20"/>
      <c r="W296" s="46" t="s">
        <v>30</v>
      </c>
      <c r="X296" s="437" t="str">
        <f>VLOOKUP(U293,'結果入力表'!$B$2:$J$212,8,FALSE)</f>
        <v>末岡　修</v>
      </c>
      <c r="Y296" s="19"/>
      <c r="Z296" s="48"/>
      <c r="AC296" s="438" t="str">
        <f>VLOOKUP(AD293,'結果入力表'!$B$2:$J$212,3,FALSE)</f>
        <v>田中 隆介</v>
      </c>
      <c r="AD296" s="19"/>
      <c r="AE296" s="20"/>
      <c r="AF296" s="46" t="s">
        <v>30</v>
      </c>
      <c r="AG296" s="437" t="str">
        <f>VLOOKUP(AD293,'結果入力表'!$B$2:$J$212,8,FALSE)</f>
        <v>杉本 博章</v>
      </c>
      <c r="AH296" s="19"/>
      <c r="AI296" s="48"/>
      <c r="AL296" s="438" t="str">
        <f>VLOOKUP(AM293,'結果入力表'!$B$2:$J$212,3,FALSE)</f>
        <v>西田 恵子</v>
      </c>
      <c r="AM296" s="19"/>
      <c r="AN296" s="20"/>
      <c r="AO296" s="46" t="s">
        <v>30</v>
      </c>
      <c r="AP296" s="437" t="str">
        <f>VLOOKUP(AM293,'結果入力表'!$B$2:$J$212,8,FALSE)</f>
        <v>丹次 力良</v>
      </c>
      <c r="AQ296" s="19"/>
      <c r="AR296" s="48"/>
      <c r="AU296" s="438" t="str">
        <f>VLOOKUP(AV293,'結果入力表'!$B$2:$J$212,3,FALSE)</f>
        <v>村上 泰辰</v>
      </c>
      <c r="AV296" s="19"/>
      <c r="AW296" s="20"/>
      <c r="AX296" s="46" t="s">
        <v>30</v>
      </c>
      <c r="AY296" s="437" t="str">
        <f>VLOOKUP(AV293,'結果入力表'!$B$2:$J$212,8,FALSE)</f>
        <v>芝先 泰生</v>
      </c>
      <c r="AZ296" s="19"/>
      <c r="BA296" s="48"/>
      <c r="BD296" s="438" t="str">
        <f>VLOOKUP(BE293,'結果入力表'!$B$2:$J$212,3,FALSE)</f>
        <v>乾　伸綱</v>
      </c>
      <c r="BE296" s="19"/>
      <c r="BF296" s="20"/>
      <c r="BG296" s="46" t="s">
        <v>30</v>
      </c>
      <c r="BH296" s="437" t="str">
        <f>VLOOKUP(BE293,'結果入力表'!$B$2:$J$212,8,FALSE)</f>
        <v>岸上 賢一</v>
      </c>
      <c r="BI296" s="19"/>
      <c r="BJ296" s="48"/>
    </row>
    <row r="297" spans="2:62" ht="37.5" customHeight="1">
      <c r="B297" s="49"/>
      <c r="C297" s="19"/>
      <c r="D297" s="20"/>
      <c r="E297" s="46" t="s">
        <v>31</v>
      </c>
      <c r="F297" s="50"/>
      <c r="G297" s="19"/>
      <c r="H297" s="48"/>
      <c r="K297" s="49"/>
      <c r="L297" s="19"/>
      <c r="M297" s="20"/>
      <c r="N297" s="46" t="s">
        <v>31</v>
      </c>
      <c r="O297" s="50"/>
      <c r="P297" s="19"/>
      <c r="Q297" s="48"/>
      <c r="T297" s="49"/>
      <c r="U297" s="19"/>
      <c r="V297" s="20"/>
      <c r="W297" s="46" t="s">
        <v>31</v>
      </c>
      <c r="X297" s="50"/>
      <c r="Y297" s="19"/>
      <c r="Z297" s="48"/>
      <c r="AC297" s="49"/>
      <c r="AD297" s="19"/>
      <c r="AE297" s="20"/>
      <c r="AF297" s="46" t="s">
        <v>31</v>
      </c>
      <c r="AG297" s="50"/>
      <c r="AH297" s="19"/>
      <c r="AI297" s="48"/>
      <c r="AL297" s="49"/>
      <c r="AM297" s="19"/>
      <c r="AN297" s="20"/>
      <c r="AO297" s="46" t="s">
        <v>31</v>
      </c>
      <c r="AP297" s="50"/>
      <c r="AQ297" s="19"/>
      <c r="AR297" s="48"/>
      <c r="AU297" s="49"/>
      <c r="AV297" s="19"/>
      <c r="AW297" s="20"/>
      <c r="AX297" s="46" t="s">
        <v>31</v>
      </c>
      <c r="AY297" s="50"/>
      <c r="AZ297" s="19"/>
      <c r="BA297" s="48"/>
      <c r="BD297" s="49"/>
      <c r="BE297" s="19"/>
      <c r="BF297" s="20"/>
      <c r="BG297" s="46" t="s">
        <v>31</v>
      </c>
      <c r="BH297" s="50"/>
      <c r="BI297" s="19"/>
      <c r="BJ297" s="48"/>
    </row>
    <row r="298" spans="2:62" ht="37.5" customHeight="1" thickBot="1">
      <c r="B298" s="51"/>
      <c r="C298" s="52"/>
      <c r="D298" s="53"/>
      <c r="E298" s="54" t="s">
        <v>32</v>
      </c>
      <c r="F298" s="55"/>
      <c r="G298" s="52"/>
      <c r="H298" s="56"/>
      <c r="K298" s="51"/>
      <c r="L298" s="52"/>
      <c r="M298" s="53"/>
      <c r="N298" s="54" t="s">
        <v>32</v>
      </c>
      <c r="O298" s="55"/>
      <c r="P298" s="52"/>
      <c r="Q298" s="56"/>
      <c r="T298" s="51"/>
      <c r="U298" s="52"/>
      <c r="V298" s="53"/>
      <c r="W298" s="54" t="s">
        <v>32</v>
      </c>
      <c r="X298" s="55"/>
      <c r="Y298" s="52"/>
      <c r="Z298" s="56"/>
      <c r="AC298" s="51"/>
      <c r="AD298" s="52"/>
      <c r="AE298" s="53"/>
      <c r="AF298" s="54" t="s">
        <v>32</v>
      </c>
      <c r="AG298" s="55"/>
      <c r="AH298" s="52"/>
      <c r="AI298" s="56"/>
      <c r="AL298" s="51"/>
      <c r="AM298" s="52"/>
      <c r="AN298" s="53"/>
      <c r="AO298" s="54" t="s">
        <v>32</v>
      </c>
      <c r="AP298" s="55"/>
      <c r="AQ298" s="52"/>
      <c r="AR298" s="56"/>
      <c r="AU298" s="51"/>
      <c r="AV298" s="52"/>
      <c r="AW298" s="53"/>
      <c r="AX298" s="54" t="s">
        <v>32</v>
      </c>
      <c r="AY298" s="55"/>
      <c r="AZ298" s="52"/>
      <c r="BA298" s="56"/>
      <c r="BD298" s="51"/>
      <c r="BE298" s="52"/>
      <c r="BF298" s="53"/>
      <c r="BG298" s="54" t="s">
        <v>32</v>
      </c>
      <c r="BH298" s="55"/>
      <c r="BI298" s="52"/>
      <c r="BJ298" s="56"/>
    </row>
    <row r="300" spans="4:62" ht="15" customHeight="1">
      <c r="D300" s="22"/>
      <c r="E300" s="22"/>
      <c r="F300" s="21" t="s">
        <v>37</v>
      </c>
      <c r="G300" s="30"/>
      <c r="H300" s="30"/>
      <c r="M300" s="22"/>
      <c r="N300" s="22"/>
      <c r="O300" s="21" t="s">
        <v>37</v>
      </c>
      <c r="P300" s="30"/>
      <c r="Q300" s="30"/>
      <c r="V300" s="22"/>
      <c r="W300" s="22"/>
      <c r="X300" s="21" t="s">
        <v>37</v>
      </c>
      <c r="Y300" s="30"/>
      <c r="Z300" s="30"/>
      <c r="AE300" s="22"/>
      <c r="AF300" s="22"/>
      <c r="AG300" s="21" t="s">
        <v>37</v>
      </c>
      <c r="AH300" s="30"/>
      <c r="AI300" s="30"/>
      <c r="AN300" s="22"/>
      <c r="AO300" s="22"/>
      <c r="AP300" s="21" t="s">
        <v>37</v>
      </c>
      <c r="AQ300" s="30"/>
      <c r="AR300" s="30"/>
      <c r="AW300" s="22"/>
      <c r="AX300" s="22"/>
      <c r="AY300" s="21" t="s">
        <v>37</v>
      </c>
      <c r="AZ300" s="30"/>
      <c r="BA300" s="30"/>
      <c r="BF300" s="22"/>
      <c r="BG300" s="22"/>
      <c r="BH300" s="21" t="s">
        <v>37</v>
      </c>
      <c r="BI300" s="30"/>
      <c r="BJ300" s="30"/>
    </row>
    <row r="301" spans="2:64" ht="15" customHeight="1">
      <c r="B301" s="23" t="str">
        <f>'★個人成績表★'!$A$1</f>
        <v>第28回　京阪神和奈滋対抗戦　　　(大阪；玉出エース)</v>
      </c>
      <c r="C301" s="36"/>
      <c r="D301" s="36"/>
      <c r="E301" s="36"/>
      <c r="F301" s="36"/>
      <c r="G301" s="36"/>
      <c r="H301" s="37"/>
      <c r="K301" s="23" t="str">
        <f>'★個人成績表★'!$A$1</f>
        <v>第28回　京阪神和奈滋対抗戦　　　(大阪；玉出エース)</v>
      </c>
      <c r="L301" s="36"/>
      <c r="M301" s="36"/>
      <c r="N301" s="36"/>
      <c r="O301" s="36"/>
      <c r="P301" s="36"/>
      <c r="Q301" s="37"/>
      <c r="T301" s="23" t="str">
        <f>'★個人成績表★'!$A$1</f>
        <v>第28回　京阪神和奈滋対抗戦　　　(大阪；玉出エース)</v>
      </c>
      <c r="U301" s="36"/>
      <c r="V301" s="36"/>
      <c r="W301" s="36"/>
      <c r="X301" s="36"/>
      <c r="Y301" s="36"/>
      <c r="Z301" s="37"/>
      <c r="AC301" s="23" t="str">
        <f>'★個人成績表★'!$A$1</f>
        <v>第28回　京阪神和奈滋対抗戦　　　(大阪；玉出エース)</v>
      </c>
      <c r="AD301" s="36"/>
      <c r="AE301" s="36"/>
      <c r="AF301" s="36"/>
      <c r="AG301" s="36"/>
      <c r="AH301" s="36"/>
      <c r="AI301" s="37"/>
      <c r="AL301" s="23" t="str">
        <f>'★個人成績表★'!$A$1</f>
        <v>第28回　京阪神和奈滋対抗戦　　　(大阪；玉出エース)</v>
      </c>
      <c r="AM301" s="36"/>
      <c r="AN301" s="36"/>
      <c r="AO301" s="36"/>
      <c r="AP301" s="36"/>
      <c r="AQ301" s="36"/>
      <c r="AR301" s="37"/>
      <c r="AU301" s="23" t="str">
        <f>'★個人成績表★'!$A$1</f>
        <v>第28回　京阪神和奈滋対抗戦　　　(大阪；玉出エース)</v>
      </c>
      <c r="AV301" s="36"/>
      <c r="AW301" s="36"/>
      <c r="AX301" s="36"/>
      <c r="AY301" s="36"/>
      <c r="AZ301" s="36"/>
      <c r="BA301" s="37"/>
      <c r="BD301" s="23" t="str">
        <f>'★個人成績表★'!$A$1</f>
        <v>第28回　京阪神和奈滋対抗戦　　　(大阪；玉出エース)</v>
      </c>
      <c r="BE301" s="36"/>
      <c r="BF301" s="36"/>
      <c r="BG301" s="36"/>
      <c r="BH301" s="36"/>
      <c r="BI301" s="36"/>
      <c r="BJ301" s="37"/>
      <c r="BL301" t="s">
        <v>33</v>
      </c>
    </row>
    <row r="303" spans="2:61" s="38" customFormat="1" ht="15" customHeight="1">
      <c r="B303" s="22" t="s">
        <v>35</v>
      </c>
      <c r="C303" s="30">
        <f>BE293+1</f>
        <v>204</v>
      </c>
      <c r="F303" s="22" t="s">
        <v>36</v>
      </c>
      <c r="G303" s="30"/>
      <c r="K303" s="22" t="s">
        <v>35</v>
      </c>
      <c r="L303" s="30">
        <f>C303+1</f>
        <v>205</v>
      </c>
      <c r="O303" s="22" t="s">
        <v>36</v>
      </c>
      <c r="P303" s="30"/>
      <c r="T303" s="22" t="s">
        <v>35</v>
      </c>
      <c r="U303" s="30">
        <f>L303+1</f>
        <v>206</v>
      </c>
      <c r="X303" s="22" t="s">
        <v>36</v>
      </c>
      <c r="Y303" s="30"/>
      <c r="AC303" s="22" t="s">
        <v>35</v>
      </c>
      <c r="AD303" s="30">
        <f>U303+1</f>
        <v>207</v>
      </c>
      <c r="AG303" s="22" t="s">
        <v>36</v>
      </c>
      <c r="AH303" s="30"/>
      <c r="AL303" s="22" t="s">
        <v>35</v>
      </c>
      <c r="AM303" s="30">
        <f>AD303+1</f>
        <v>208</v>
      </c>
      <c r="AP303" s="22" t="s">
        <v>36</v>
      </c>
      <c r="AQ303" s="30"/>
      <c r="AU303" s="22" t="s">
        <v>35</v>
      </c>
      <c r="AV303" s="30">
        <f>AM303+1</f>
        <v>209</v>
      </c>
      <c r="AY303" s="22" t="s">
        <v>36</v>
      </c>
      <c r="AZ303" s="30"/>
      <c r="BD303" s="22" t="s">
        <v>35</v>
      </c>
      <c r="BE303" s="30">
        <f>AV303+1</f>
        <v>210</v>
      </c>
      <c r="BH303" s="22" t="s">
        <v>36</v>
      </c>
      <c r="BI303" s="30"/>
    </row>
    <row r="304" ht="15" customHeight="1" thickBot="1"/>
    <row r="305" spans="2:62" ht="31.5" customHeight="1">
      <c r="B305" s="39" t="str">
        <f>VLOOKUP(C303,'結果入力表'!$B$2:$J$212,2,FALSE)</f>
        <v>KRC</v>
      </c>
      <c r="C305" s="40"/>
      <c r="D305" s="41"/>
      <c r="E305" s="42" t="s">
        <v>29</v>
      </c>
      <c r="F305" s="43" t="str">
        <f>VLOOKUP(C303,'結果入力表'!$B$2:$J$212,9,FALSE)</f>
        <v>HRC</v>
      </c>
      <c r="G305" s="40"/>
      <c r="H305" s="44"/>
      <c r="K305" s="39" t="str">
        <f>VLOOKUP(L303,'結果入力表'!$B$2:$J$212,2,FALSE)</f>
        <v>KRC</v>
      </c>
      <c r="L305" s="40"/>
      <c r="M305" s="41"/>
      <c r="N305" s="42" t="s">
        <v>29</v>
      </c>
      <c r="O305" s="43" t="str">
        <f>VLOOKUP(L303,'結果入力表'!$B$2:$J$212,9,FALSE)</f>
        <v>HRC</v>
      </c>
      <c r="P305" s="40"/>
      <c r="Q305" s="44"/>
      <c r="T305" s="39" t="str">
        <f>VLOOKUP(U303,'結果入力表'!$B$2:$J$212,2,FALSE)</f>
        <v>KRC</v>
      </c>
      <c r="U305" s="40"/>
      <c r="V305" s="41"/>
      <c r="W305" s="42" t="s">
        <v>29</v>
      </c>
      <c r="X305" s="43" t="str">
        <f>VLOOKUP(U303,'結果入力表'!$B$2:$J$212,9,FALSE)</f>
        <v>HRC</v>
      </c>
      <c r="Y305" s="40"/>
      <c r="Z305" s="44"/>
      <c r="AC305" s="39" t="str">
        <f>VLOOKUP(AD303,'結果入力表'!$B$2:$J$212,2,FALSE)</f>
        <v>KRC</v>
      </c>
      <c r="AD305" s="40"/>
      <c r="AE305" s="41"/>
      <c r="AF305" s="42" t="s">
        <v>29</v>
      </c>
      <c r="AG305" s="43" t="str">
        <f>VLOOKUP(AD303,'結果入力表'!$B$2:$J$212,9,FALSE)</f>
        <v>HRC</v>
      </c>
      <c r="AH305" s="40"/>
      <c r="AI305" s="44"/>
      <c r="AL305" s="39" t="str">
        <f>VLOOKUP(AM303,'結果入力表'!$B$2:$J$212,2,FALSE)</f>
        <v>KRC</v>
      </c>
      <c r="AM305" s="40"/>
      <c r="AN305" s="41"/>
      <c r="AO305" s="42" t="s">
        <v>29</v>
      </c>
      <c r="AP305" s="43" t="str">
        <f>VLOOKUP(AM303,'結果入力表'!$B$2:$J$212,9,FALSE)</f>
        <v>HRC</v>
      </c>
      <c r="AQ305" s="40"/>
      <c r="AR305" s="44"/>
      <c r="AU305" s="39" t="str">
        <f>VLOOKUP(AV303,'結果入力表'!$B$2:$J$212,2,FALSE)</f>
        <v>KRC</v>
      </c>
      <c r="AV305" s="40"/>
      <c r="AW305" s="41"/>
      <c r="AX305" s="42" t="s">
        <v>29</v>
      </c>
      <c r="AY305" s="43" t="str">
        <f>VLOOKUP(AV303,'結果入力表'!$B$2:$J$212,9,FALSE)</f>
        <v>HRC</v>
      </c>
      <c r="AZ305" s="40"/>
      <c r="BA305" s="44"/>
      <c r="BD305" s="39" t="str">
        <f>VLOOKUP(BE303,'結果入力表'!$B$2:$J$212,2,FALSE)</f>
        <v>KRC</v>
      </c>
      <c r="BE305" s="40"/>
      <c r="BF305" s="41"/>
      <c r="BG305" s="42" t="s">
        <v>29</v>
      </c>
      <c r="BH305" s="43" t="str">
        <f>VLOOKUP(BE303,'結果入力表'!$B$2:$J$212,9,FALSE)</f>
        <v>HRC</v>
      </c>
      <c r="BI305" s="40"/>
      <c r="BJ305" s="44"/>
    </row>
    <row r="306" spans="2:62" ht="46.5" customHeight="1">
      <c r="B306" s="438" t="str">
        <f>VLOOKUP(C303,'結果入力表'!$B$2:$J$212,3,FALSE)</f>
        <v>折戸 和幸</v>
      </c>
      <c r="C306" s="19"/>
      <c r="D306" s="20"/>
      <c r="E306" s="46" t="s">
        <v>30</v>
      </c>
      <c r="F306" s="437" t="str">
        <f>VLOOKUP(C303,'結果入力表'!$B$2:$J$212,8,FALSE)</f>
        <v>長井　充</v>
      </c>
      <c r="G306" s="19"/>
      <c r="H306" s="48"/>
      <c r="K306" s="438" t="str">
        <f>VLOOKUP(L303,'結果入力表'!$B$2:$J$212,3,FALSE)</f>
        <v>今村 哲也</v>
      </c>
      <c r="L306" s="19"/>
      <c r="M306" s="20"/>
      <c r="N306" s="46" t="s">
        <v>30</v>
      </c>
      <c r="O306" s="437" t="str">
        <f>VLOOKUP(L303,'結果入力表'!$B$2:$J$212,8,FALSE)</f>
        <v>藤中健太郎</v>
      </c>
      <c r="P306" s="19"/>
      <c r="Q306" s="48"/>
      <c r="T306" s="438" t="str">
        <f>VLOOKUP(U303,'結果入力表'!$B$2:$J$212,3,FALSE)</f>
        <v>小山 久博</v>
      </c>
      <c r="U306" s="19"/>
      <c r="V306" s="20"/>
      <c r="W306" s="46" t="s">
        <v>30</v>
      </c>
      <c r="X306" s="437" t="str">
        <f>VLOOKUP(U303,'結果入力表'!$B$2:$J$212,8,FALSE)</f>
        <v>後藤 勇治</v>
      </c>
      <c r="Y306" s="19"/>
      <c r="Z306" s="48"/>
      <c r="AC306" s="438" t="str">
        <f>VLOOKUP(AD303,'結果入力表'!$B$2:$J$212,3,FALSE)</f>
        <v>伊庭 保久</v>
      </c>
      <c r="AD306" s="19"/>
      <c r="AE306" s="20"/>
      <c r="AF306" s="46" t="s">
        <v>30</v>
      </c>
      <c r="AG306" s="437" t="str">
        <f>VLOOKUP(AD303,'結果入力表'!$B$2:$J$212,8,FALSE)</f>
        <v>丹羽 俊也</v>
      </c>
      <c r="AH306" s="19"/>
      <c r="AI306" s="48"/>
      <c r="AL306" s="438" t="str">
        <f>VLOOKUP(AM303,'結果入力表'!$B$2:$J$212,3,FALSE)</f>
        <v>菊池 靖正</v>
      </c>
      <c r="AM306" s="19"/>
      <c r="AN306" s="20"/>
      <c r="AO306" s="46" t="s">
        <v>30</v>
      </c>
      <c r="AP306" s="437" t="str">
        <f>VLOOKUP(AM303,'結果入力表'!$B$2:$J$212,8,FALSE)</f>
        <v>平井 洸志</v>
      </c>
      <c r="AQ306" s="19"/>
      <c r="AR306" s="48"/>
      <c r="AU306" s="438" t="str">
        <f>VLOOKUP(AV303,'結果入力表'!$B$2:$J$212,3,FALSE)</f>
        <v>田附 裕次</v>
      </c>
      <c r="AV306" s="19"/>
      <c r="AW306" s="20"/>
      <c r="AX306" s="46" t="s">
        <v>30</v>
      </c>
      <c r="AY306" s="437" t="str">
        <f>VLOOKUP(AV303,'結果入力表'!$B$2:$J$212,8,FALSE)</f>
        <v>栃下 恭子</v>
      </c>
      <c r="AZ306" s="19"/>
      <c r="BA306" s="48"/>
      <c r="BD306" s="438" t="str">
        <f>VLOOKUP(BE303,'結果入力表'!$B$2:$J$212,3,FALSE)</f>
        <v>森田由佳里</v>
      </c>
      <c r="BE306" s="19"/>
      <c r="BF306" s="20"/>
      <c r="BG306" s="46" t="s">
        <v>30</v>
      </c>
      <c r="BH306" s="437" t="str">
        <f>VLOOKUP(BE303,'結果入力表'!$B$2:$J$212,8,FALSE)</f>
        <v>堂園 雅也</v>
      </c>
      <c r="BI306" s="19"/>
      <c r="BJ306" s="48"/>
    </row>
    <row r="307" spans="2:62" ht="37.5" customHeight="1">
      <c r="B307" s="49"/>
      <c r="C307" s="19"/>
      <c r="D307" s="20"/>
      <c r="E307" s="46" t="s">
        <v>31</v>
      </c>
      <c r="F307" s="50"/>
      <c r="G307" s="19"/>
      <c r="H307" s="48"/>
      <c r="K307" s="49"/>
      <c r="L307" s="19"/>
      <c r="M307" s="20"/>
      <c r="N307" s="46" t="s">
        <v>31</v>
      </c>
      <c r="O307" s="50"/>
      <c r="P307" s="19"/>
      <c r="Q307" s="48"/>
      <c r="T307" s="49"/>
      <c r="U307" s="19"/>
      <c r="V307" s="20"/>
      <c r="W307" s="46" t="s">
        <v>31</v>
      </c>
      <c r="X307" s="50"/>
      <c r="Y307" s="19"/>
      <c r="Z307" s="48"/>
      <c r="AC307" s="49"/>
      <c r="AD307" s="19"/>
      <c r="AE307" s="20"/>
      <c r="AF307" s="46" t="s">
        <v>31</v>
      </c>
      <c r="AG307" s="50"/>
      <c r="AH307" s="19"/>
      <c r="AI307" s="48"/>
      <c r="AL307" s="49"/>
      <c r="AM307" s="19"/>
      <c r="AN307" s="20"/>
      <c r="AO307" s="46" t="s">
        <v>31</v>
      </c>
      <c r="AP307" s="50"/>
      <c r="AQ307" s="19"/>
      <c r="AR307" s="48"/>
      <c r="AU307" s="49"/>
      <c r="AV307" s="19"/>
      <c r="AW307" s="20"/>
      <c r="AX307" s="46" t="s">
        <v>31</v>
      </c>
      <c r="AY307" s="50"/>
      <c r="AZ307" s="19"/>
      <c r="BA307" s="48"/>
      <c r="BD307" s="49"/>
      <c r="BE307" s="19"/>
      <c r="BF307" s="20"/>
      <c r="BG307" s="46" t="s">
        <v>31</v>
      </c>
      <c r="BH307" s="50"/>
      <c r="BI307" s="19"/>
      <c r="BJ307" s="48"/>
    </row>
    <row r="308" spans="2:62" ht="37.5" customHeight="1" thickBot="1">
      <c r="B308" s="51"/>
      <c r="C308" s="52"/>
      <c r="D308" s="53"/>
      <c r="E308" s="54" t="s">
        <v>32</v>
      </c>
      <c r="F308" s="55"/>
      <c r="G308" s="52"/>
      <c r="H308" s="56"/>
      <c r="K308" s="51"/>
      <c r="L308" s="52"/>
      <c r="M308" s="53"/>
      <c r="N308" s="54" t="s">
        <v>32</v>
      </c>
      <c r="O308" s="55"/>
      <c r="P308" s="52"/>
      <c r="Q308" s="56"/>
      <c r="T308" s="51"/>
      <c r="U308" s="52"/>
      <c r="V308" s="53"/>
      <c r="W308" s="54" t="s">
        <v>32</v>
      </c>
      <c r="X308" s="55"/>
      <c r="Y308" s="52"/>
      <c r="Z308" s="56"/>
      <c r="AC308" s="51"/>
      <c r="AD308" s="52"/>
      <c r="AE308" s="53"/>
      <c r="AF308" s="54" t="s">
        <v>32</v>
      </c>
      <c r="AG308" s="55"/>
      <c r="AH308" s="52"/>
      <c r="AI308" s="56"/>
      <c r="AL308" s="51"/>
      <c r="AM308" s="52"/>
      <c r="AN308" s="53"/>
      <c r="AO308" s="54" t="s">
        <v>32</v>
      </c>
      <c r="AP308" s="55"/>
      <c r="AQ308" s="52"/>
      <c r="AR308" s="56"/>
      <c r="AU308" s="51"/>
      <c r="AV308" s="52"/>
      <c r="AW308" s="53"/>
      <c r="AX308" s="54" t="s">
        <v>32</v>
      </c>
      <c r="AY308" s="55"/>
      <c r="AZ308" s="52"/>
      <c r="BA308" s="56"/>
      <c r="BD308" s="51"/>
      <c r="BE308" s="52"/>
      <c r="BF308" s="53"/>
      <c r="BG308" s="54" t="s">
        <v>32</v>
      </c>
      <c r="BH308" s="55"/>
      <c r="BI308" s="52"/>
      <c r="BJ308" s="56"/>
    </row>
    <row r="310" spans="4:62" ht="15" customHeight="1">
      <c r="D310" s="22"/>
      <c r="E310" s="22"/>
      <c r="F310" s="21" t="s">
        <v>37</v>
      </c>
      <c r="G310" s="30"/>
      <c r="H310" s="30"/>
      <c r="M310" s="22"/>
      <c r="N310" s="22"/>
      <c r="O310" s="21" t="s">
        <v>37</v>
      </c>
      <c r="P310" s="30"/>
      <c r="Q310" s="30"/>
      <c r="V310" s="22"/>
      <c r="W310" s="22"/>
      <c r="X310" s="21" t="s">
        <v>37</v>
      </c>
      <c r="Y310" s="30"/>
      <c r="Z310" s="30"/>
      <c r="AE310" s="22"/>
      <c r="AF310" s="22"/>
      <c r="AG310" s="21" t="s">
        <v>37</v>
      </c>
      <c r="AH310" s="30"/>
      <c r="AI310" s="30"/>
      <c r="AN310" s="22"/>
      <c r="AO310" s="22"/>
      <c r="AP310" s="21" t="s">
        <v>37</v>
      </c>
      <c r="AQ310" s="30"/>
      <c r="AR310" s="30"/>
      <c r="AW310" s="22"/>
      <c r="AX310" s="22"/>
      <c r="AY310" s="21" t="s">
        <v>37</v>
      </c>
      <c r="AZ310" s="30"/>
      <c r="BA310" s="30"/>
      <c r="BF310" s="22"/>
      <c r="BG310" s="22"/>
      <c r="BH310" s="21" t="s">
        <v>37</v>
      </c>
      <c r="BI310" s="30"/>
      <c r="BJ310" s="30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0" fitToWidth="7" orientation="landscape" pageOrder="overThenDown" paperSize="43" r:id="rId1"/>
  <rowBreaks count="29" manualBreakCount="29">
    <brk id="20" max="62" man="1"/>
    <brk id="30" max="62" man="1"/>
    <brk id="40" max="62" man="1"/>
    <brk id="50" max="62" man="1"/>
    <brk id="60" max="62" man="1"/>
    <brk id="70" max="62" man="1"/>
    <brk id="80" max="62" man="1"/>
    <brk id="90" max="62" man="1"/>
    <brk id="100" max="62" man="1"/>
    <brk id="110" max="62" man="1"/>
    <brk id="120" max="62" man="1"/>
    <brk id="130" max="62" man="1"/>
    <brk id="140" max="62" man="1"/>
    <brk id="150" max="62" man="1"/>
    <brk id="160" max="62" man="1"/>
    <brk id="170" max="62" man="1"/>
    <brk id="180" max="62" man="1"/>
    <brk id="190" max="62" man="1"/>
    <brk id="200" max="62" man="1"/>
    <brk id="210" max="62" man="1"/>
    <brk id="220" max="62" man="1"/>
    <brk id="230" max="62" man="1"/>
    <brk id="240" max="62" man="1"/>
    <brk id="250" max="62" man="1"/>
    <brk id="260" max="62" man="1"/>
    <brk id="270" max="62" man="1"/>
    <brk id="280" max="62" man="1"/>
    <brk id="290" max="62" man="1"/>
    <brk id="300" max="62" man="1"/>
  </rowBreaks>
  <colBreaks count="6" manualBreakCount="6">
    <brk id="9" min="10" max="309" man="1"/>
    <brk id="18" min="10" max="309" man="1"/>
    <brk id="27" min="10" max="309" man="1"/>
    <brk id="36" min="10" max="309" man="1"/>
    <brk id="45" min="10" max="309" man="1"/>
    <brk id="54" min="10" max="3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59"/>
  <sheetViews>
    <sheetView zoomScale="70" zoomScaleNormal="70" zoomScalePageLayoutView="0" workbookViewId="0" topLeftCell="A6">
      <selection activeCell="AI22" sqref="AI22"/>
    </sheetView>
  </sheetViews>
  <sheetFormatPr defaultColWidth="3.625" defaultRowHeight="13.5"/>
  <cols>
    <col min="1" max="1" width="3.125" style="143" customWidth="1"/>
    <col min="2" max="2" width="12.375" style="143" customWidth="1"/>
    <col min="3" max="3" width="4.625" style="143" hidden="1" customWidth="1"/>
    <col min="4" max="13" width="4.875" style="143" customWidth="1"/>
    <col min="14" max="15" width="4.875" style="25" customWidth="1"/>
    <col min="16" max="16" width="7.625" style="145" hidden="1" customWidth="1"/>
    <col min="17" max="17" width="7.625" style="143" hidden="1" customWidth="1"/>
    <col min="18" max="18" width="2.50390625" style="143" customWidth="1"/>
    <col min="19" max="19" width="5.625" style="143" customWidth="1"/>
    <col min="20" max="20" width="3.125" style="143" customWidth="1"/>
    <col min="21" max="21" width="5.75390625" style="388" customWidth="1"/>
    <col min="22" max="22" width="4.125" style="143" customWidth="1"/>
    <col min="23" max="23" width="12.375" style="217" customWidth="1"/>
    <col min="24" max="25" width="4.125" style="143" customWidth="1"/>
    <col min="26" max="26" width="6.00390625" style="143" customWidth="1"/>
    <col min="27" max="27" width="10.75390625" style="143" bestFit="1" customWidth="1"/>
    <col min="28" max="28" width="3.625" style="143" customWidth="1"/>
    <col min="29" max="29" width="7.75390625" style="143" customWidth="1"/>
    <col min="30" max="30" width="7.50390625" style="216" customWidth="1"/>
    <col min="31" max="31" width="11.125" style="216" customWidth="1"/>
    <col min="32" max="33" width="3.625" style="143" customWidth="1"/>
    <col min="34" max="34" width="7.125" style="143" customWidth="1"/>
    <col min="35" max="35" width="12.75390625" style="143" customWidth="1"/>
    <col min="36" max="36" width="9.125" style="143" customWidth="1"/>
    <col min="37" max="16384" width="3.625" style="143" customWidth="1"/>
  </cols>
  <sheetData>
    <row r="1" spans="1:31" s="141" customFormat="1" ht="17.25">
      <c r="A1" s="4" t="str">
        <f>'登録'!E1&amp;'登録'!F1&amp;'登録'!G1&amp;"　"&amp;'登録'!I1&amp;'登録'!M1&amp;"　　　"&amp;"("&amp;'登録'!I5&amp;"；"&amp;'登録'!E5&amp;")"</f>
        <v>第28回　京阪神和奈滋対抗戦　　　(大阪；玉出エース)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6"/>
      <c r="Q1" s="4"/>
      <c r="R1" s="4"/>
      <c r="S1" s="4"/>
      <c r="T1" s="4"/>
      <c r="U1" s="381"/>
      <c r="W1" s="217"/>
      <c r="AD1" s="216"/>
      <c r="AE1" s="216"/>
    </row>
    <row r="2" spans="1:29" ht="6" customHeight="1" thickBo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5"/>
      <c r="Q2" s="88"/>
      <c r="R2" s="88"/>
      <c r="S2" s="88"/>
      <c r="T2" s="88"/>
      <c r="U2" s="382"/>
      <c r="V2" s="142"/>
      <c r="X2" s="142"/>
      <c r="Y2" s="142"/>
      <c r="Z2" s="142"/>
      <c r="AA2" s="142"/>
      <c r="AB2" s="142"/>
      <c r="AC2" s="142"/>
    </row>
    <row r="3" spans="1:28" ht="14.25" customHeight="1" thickBot="1">
      <c r="A3" s="144"/>
      <c r="B3" s="200"/>
      <c r="C3" s="201"/>
      <c r="D3" s="202" t="s">
        <v>75</v>
      </c>
      <c r="E3" s="203"/>
      <c r="F3" s="203"/>
      <c r="G3" s="203"/>
      <c r="H3" s="203"/>
      <c r="I3" s="204" t="s">
        <v>76</v>
      </c>
      <c r="J3" s="203"/>
      <c r="K3" s="203"/>
      <c r="L3" s="203"/>
      <c r="M3" s="203"/>
      <c r="N3" s="202" t="s">
        <v>77</v>
      </c>
      <c r="O3" s="203"/>
      <c r="P3" s="203"/>
      <c r="Q3" s="203"/>
      <c r="R3" s="203"/>
      <c r="S3" s="205"/>
      <c r="T3" s="206" t="s">
        <v>78</v>
      </c>
      <c r="U3" s="206" t="s">
        <v>91</v>
      </c>
      <c r="V3" s="142"/>
      <c r="X3" s="242" t="s">
        <v>19</v>
      </c>
      <c r="Y3" s="243"/>
      <c r="Z3" s="243"/>
      <c r="AA3" s="244"/>
      <c r="AB3" s="142"/>
    </row>
    <row r="4" spans="1:28" ht="14.25" customHeight="1" thickBot="1">
      <c r="A4" s="495" t="str">
        <f>IF('登録'!B17="","",'登録'!B17)</f>
        <v>KRC</v>
      </c>
      <c r="B4" s="210" t="s">
        <v>121</v>
      </c>
      <c r="C4" s="31" t="s">
        <v>24</v>
      </c>
      <c r="D4" s="212" t="str">
        <f>'登録'!BI3</f>
        <v>WRC</v>
      </c>
      <c r="E4" s="213" t="str">
        <f>'登録'!BJ3</f>
        <v>SBC</v>
      </c>
      <c r="F4" s="213" t="str">
        <f>'登録'!BK3</f>
        <v>NRC</v>
      </c>
      <c r="G4" s="213" t="str">
        <f>'登録'!BL3</f>
        <v>ORC</v>
      </c>
      <c r="H4" s="214" t="str">
        <f>'登録'!BM3</f>
        <v>HRC</v>
      </c>
      <c r="I4" s="215" t="str">
        <f>D4</f>
        <v>WRC</v>
      </c>
      <c r="J4" s="213" t="str">
        <f>E4</f>
        <v>SBC</v>
      </c>
      <c r="K4" s="213" t="str">
        <f>F4</f>
        <v>NRC</v>
      </c>
      <c r="L4" s="213" t="str">
        <f>G4</f>
        <v>ORC</v>
      </c>
      <c r="M4" s="214" t="str">
        <f>H4</f>
        <v>HRC</v>
      </c>
      <c r="N4" s="394" t="s">
        <v>79</v>
      </c>
      <c r="O4" s="207" t="s">
        <v>80</v>
      </c>
      <c r="P4" s="208" t="s">
        <v>81</v>
      </c>
      <c r="Q4" s="208" t="s">
        <v>82</v>
      </c>
      <c r="R4" s="393" t="s">
        <v>28</v>
      </c>
      <c r="S4" s="404"/>
      <c r="T4" s="209" t="s">
        <v>83</v>
      </c>
      <c r="U4" s="383" t="s">
        <v>87</v>
      </c>
      <c r="V4" s="142"/>
      <c r="W4" s="223" t="s">
        <v>89</v>
      </c>
      <c r="X4" s="224" t="s">
        <v>16</v>
      </c>
      <c r="Y4" s="225" t="s">
        <v>17</v>
      </c>
      <c r="Z4" s="225" t="s">
        <v>18</v>
      </c>
      <c r="AA4" s="226" t="s">
        <v>27</v>
      </c>
      <c r="AB4" s="142"/>
    </row>
    <row r="5" spans="1:29" ht="14.25" customHeight="1" thickTop="1">
      <c r="A5" s="496"/>
      <c r="B5" s="405" t="str">
        <f>IF('登録'!AG2=0,"",'登録'!AG2)</f>
        <v>折戸 和幸</v>
      </c>
      <c r="C5" s="32">
        <f>'登録'!F17</f>
        <v>120</v>
      </c>
      <c r="D5" s="169" t="str">
        <f>IF('結果入力表'!F16="","",'結果入力表'!F16)</f>
        <v>w</v>
      </c>
      <c r="E5" s="170" t="str">
        <f>IF('結果入力表'!F37="","",'結果入力表'!F37)</f>
        <v>w</v>
      </c>
      <c r="F5" s="170">
        <f>IF('結果入力表'!F58="","",'結果入力表'!F58)</f>
        <v>79</v>
      </c>
      <c r="G5" s="170">
        <f>IF('結果入力表'!F79="","",'結果入力表'!F79)</f>
        <v>67</v>
      </c>
      <c r="H5" s="175">
        <f>IF('結果入力表'!F100="","",'結果入力表'!F100)</f>
        <v>12</v>
      </c>
      <c r="I5" s="178" t="str">
        <f>IF('結果入力表'!F121="","",'結果入力表'!F121)</f>
        <v>w</v>
      </c>
      <c r="J5" s="170" t="str">
        <f>IF('結果入力表'!F142="","",'結果入力表'!F142)</f>
        <v>w</v>
      </c>
      <c r="K5" s="170" t="str">
        <f>IF('結果入力表'!F163="","",'結果入力表'!F163)</f>
        <v>w</v>
      </c>
      <c r="L5" s="170" t="str">
        <f>IF('結果入力表'!F184="","",'結果入力表'!F184)</f>
        <v>w</v>
      </c>
      <c r="M5" s="175" t="str">
        <f>IF('結果入力表'!F205="","",'結果入力表'!F205)</f>
        <v>w</v>
      </c>
      <c r="N5" s="395">
        <f>IF(COUNTBLANK(D5:M5)=10,"",COUNTIF(D5:M5,"w"))</f>
        <v>7</v>
      </c>
      <c r="O5" s="8">
        <f>IF(COUNTBLANK(D5:M5)=10,"",10-COUNTBLANK(D5:M5)-N5)</f>
        <v>3</v>
      </c>
      <c r="P5" s="89">
        <f>IF(N5="","",N5*C5+SUM(D5:M5))</f>
        <v>998</v>
      </c>
      <c r="Q5" s="89">
        <f>IF(N5="","",IF(C5='登録'!$I$8,P5,N5*'登録'!$I$8+SUM(D5:M5)/'★個人成績表★'!C5*'登録'!$I$8))</f>
        <v>998</v>
      </c>
      <c r="R5" s="389">
        <f>IF(P5=Q5,"","*")</f>
      </c>
      <c r="S5" s="396">
        <f>IF(COUNTBLANK(D5:M5)=10,"",Q5)</f>
        <v>998</v>
      </c>
      <c r="T5" s="28">
        <f>IF(COUNTBLANK(D5:M5)=10,"",RANK(AA5,$AA5:$AA11))</f>
        <v>4</v>
      </c>
      <c r="U5" s="384">
        <f>IF('★対戦リーグ表★'!BS6=0,"",'★対戦リーグ表★'!BS6)</f>
        <v>120</v>
      </c>
      <c r="V5" s="142"/>
      <c r="W5" s="232" t="str">
        <f>B5</f>
        <v>折戸 和幸</v>
      </c>
      <c r="X5" s="233">
        <f>N5</f>
        <v>7</v>
      </c>
      <c r="Y5" s="234">
        <f>O5</f>
        <v>3</v>
      </c>
      <c r="Z5" s="235">
        <f>Q5</f>
        <v>998</v>
      </c>
      <c r="AA5" s="236">
        <f>X5*1000000+Z5</f>
        <v>7000998</v>
      </c>
      <c r="AB5" s="142"/>
      <c r="AC5" s="142"/>
    </row>
    <row r="6" spans="1:29" ht="14.25" customHeight="1">
      <c r="A6" s="496"/>
      <c r="B6" s="406" t="str">
        <f>IF('登録'!AG3=0,"",'登録'!AG3)</f>
        <v>今村 哲也</v>
      </c>
      <c r="C6" s="33">
        <f>'登録'!I17</f>
        <v>120</v>
      </c>
      <c r="D6" s="171" t="str">
        <f>IF('結果入力表'!F17="","",'結果入力表'!F17)</f>
        <v>w</v>
      </c>
      <c r="E6" s="172">
        <f>IF('結果入力表'!F38="","",'結果入力表'!F38)</f>
        <v>80</v>
      </c>
      <c r="F6" s="172" t="str">
        <f>IF('結果入力表'!F59="","",'結果入力表'!F59)</f>
        <v>w</v>
      </c>
      <c r="G6" s="172">
        <f>IF('結果入力表'!F80="","",'結果入力表'!F80)</f>
        <v>36</v>
      </c>
      <c r="H6" s="176" t="str">
        <f>IF('結果入力表'!F101="","",'結果入力表'!F101)</f>
        <v>w</v>
      </c>
      <c r="I6" s="179" t="str">
        <f>IF('結果入力表'!F122="","",'結果入力表'!F122)</f>
        <v>w</v>
      </c>
      <c r="J6" s="172" t="str">
        <f>IF('結果入力表'!F143="","",'結果入力表'!F143)</f>
        <v>w</v>
      </c>
      <c r="K6" s="172" t="str">
        <f>IF('結果入力表'!F164="","",'結果入力表'!F164)</f>
        <v>w</v>
      </c>
      <c r="L6" s="172" t="str">
        <f>IF('結果入力表'!F185="","",'結果入力表'!F185)</f>
        <v>w</v>
      </c>
      <c r="M6" s="176" t="str">
        <f>IF('結果入力表'!F206="","",'結果入力表'!F206)</f>
        <v>w</v>
      </c>
      <c r="N6" s="397">
        <f aca="true" t="shared" si="0" ref="N6:N11">IF(COUNTBLANK(D6:M6)=10,"",COUNTIF(D6:M6,"w"))</f>
        <v>8</v>
      </c>
      <c r="O6" s="9">
        <f aca="true" t="shared" si="1" ref="O6:O11">IF(COUNTBLANK(D6:M6)=10,"",10-COUNTBLANK(D6:M6)-N6)</f>
        <v>2</v>
      </c>
      <c r="P6" s="86">
        <f aca="true" t="shared" si="2" ref="P6:P11">IF(N6="","",N6*C6+SUM(D6:M6))</f>
        <v>1076</v>
      </c>
      <c r="Q6" s="86">
        <f>IF(N6="","",IF(C6='登録'!$I$8,P6,N6*'登録'!$I$8+SUM(D6:M6)/'★個人成績表★'!C6*'登録'!$I$8))</f>
        <v>1076</v>
      </c>
      <c r="R6" s="390">
        <f aca="true" t="shared" si="3" ref="R6:R12">IF(P6=Q6,"","*")</f>
      </c>
      <c r="S6" s="398">
        <f aca="true" t="shared" si="4" ref="S6:S11">IF(COUNTBLANK(D6:M6)=10,"",Q6)</f>
        <v>1076</v>
      </c>
      <c r="T6" s="29">
        <f>IF(COUNTBLANK(D6:M6)=10,"",RANK(AA6,$AA5:$AA11))</f>
        <v>1</v>
      </c>
      <c r="U6" s="385">
        <f>IF('★対戦リーグ表★'!BS7=0,"",'★対戦リーグ表★'!BS7)</f>
        <v>104</v>
      </c>
      <c r="V6" s="142"/>
      <c r="W6" s="218" t="str">
        <f aca="true" t="shared" si="5" ref="W6:W11">B6</f>
        <v>今村 哲也</v>
      </c>
      <c r="X6" s="219">
        <f aca="true" t="shared" si="6" ref="X6:X12">N6</f>
        <v>8</v>
      </c>
      <c r="Y6" s="220">
        <f aca="true" t="shared" si="7" ref="Y6:Y12">O6</f>
        <v>2</v>
      </c>
      <c r="Z6" s="221">
        <f aca="true" t="shared" si="8" ref="Z6:Z12">Q6</f>
        <v>1076</v>
      </c>
      <c r="AA6" s="222">
        <f aca="true" t="shared" si="9" ref="AA6:AA12">X6*1000000+Z6</f>
        <v>8001076</v>
      </c>
      <c r="AB6" s="142"/>
      <c r="AC6" s="142"/>
    </row>
    <row r="7" spans="1:28" ht="14.25" customHeight="1">
      <c r="A7" s="496"/>
      <c r="B7" s="406" t="str">
        <f>IF('登録'!AG4=0,"",'登録'!AG4)</f>
        <v>小山 久博</v>
      </c>
      <c r="C7" s="33">
        <f>'登録'!L17</f>
        <v>120</v>
      </c>
      <c r="D7" s="171" t="str">
        <f>IF('結果入力表'!F18="","",'結果入力表'!F18)</f>
        <v>w</v>
      </c>
      <c r="E7" s="172">
        <f>IF('結果入力表'!F39="","",'結果入力表'!F39)</f>
        <v>18</v>
      </c>
      <c r="F7" s="172">
        <f>IF('結果入力表'!F60="","",'結果入力表'!F60)</f>
        <v>23</v>
      </c>
      <c r="G7" s="172" t="str">
        <f>IF('結果入力表'!F81="","",'結果入力表'!F81)</f>
        <v>w</v>
      </c>
      <c r="H7" s="176" t="str">
        <f>IF('結果入力表'!F102="","",'結果入力表'!F102)</f>
        <v>w</v>
      </c>
      <c r="I7" s="179" t="str">
        <f>IF('結果入力表'!F123="","",'結果入力表'!F123)</f>
        <v>w</v>
      </c>
      <c r="J7" s="172" t="str">
        <f>IF('結果入力表'!F144="","",'結果入力表'!F144)</f>
        <v>w</v>
      </c>
      <c r="K7" s="172" t="str">
        <f>IF('結果入力表'!F165="","",'結果入力表'!F165)</f>
        <v>w</v>
      </c>
      <c r="L7" s="172" t="str">
        <f>IF('結果入力表'!F186="","",'結果入力表'!F186)</f>
        <v>w</v>
      </c>
      <c r="M7" s="176" t="str">
        <f>IF('結果入力表'!F207="","",'結果入力表'!F207)</f>
        <v>w</v>
      </c>
      <c r="N7" s="399">
        <f t="shared" si="0"/>
        <v>8</v>
      </c>
      <c r="O7" s="10">
        <f t="shared" si="1"/>
        <v>2</v>
      </c>
      <c r="P7" s="86">
        <f t="shared" si="2"/>
        <v>1001</v>
      </c>
      <c r="Q7" s="86">
        <f>IF(N7="","",IF(C7='登録'!$I$8,P7,N7*'登録'!$I$8+SUM(D7:M7)/'★個人成績表★'!C7*'登録'!$I$8))</f>
        <v>1001</v>
      </c>
      <c r="R7" s="390">
        <f t="shared" si="3"/>
      </c>
      <c r="S7" s="398">
        <f t="shared" si="4"/>
        <v>1001</v>
      </c>
      <c r="T7" s="27">
        <f>IF(COUNTBLANK(D7:M7)=10,"",RANK(AA7,$AA5:$AA11))</f>
        <v>2</v>
      </c>
      <c r="U7" s="385">
        <f>IF('★対戦リーグ表★'!BS8=0,"",'★対戦リーグ表★'!BS8)</f>
        <v>111</v>
      </c>
      <c r="V7" s="142"/>
      <c r="W7" s="218" t="str">
        <f t="shared" si="5"/>
        <v>小山 久博</v>
      </c>
      <c r="X7" s="219">
        <f t="shared" si="6"/>
        <v>8</v>
      </c>
      <c r="Y7" s="220">
        <f t="shared" si="7"/>
        <v>2</v>
      </c>
      <c r="Z7" s="221">
        <f t="shared" si="8"/>
        <v>1001</v>
      </c>
      <c r="AA7" s="222">
        <f t="shared" si="9"/>
        <v>8001001</v>
      </c>
      <c r="AB7" s="142"/>
    </row>
    <row r="8" spans="1:28" ht="14.25" customHeight="1">
      <c r="A8" s="496"/>
      <c r="B8" s="406" t="str">
        <f>IF('登録'!AG5=0,"",'登録'!AG5)</f>
        <v>伊庭 保久</v>
      </c>
      <c r="C8" s="33">
        <f>'登録'!O17</f>
        <v>120</v>
      </c>
      <c r="D8" s="171">
        <f>IF('結果入力表'!F19="","",'結果入力表'!F19)</f>
        <v>106</v>
      </c>
      <c r="E8" s="172">
        <f>IF('結果入力表'!F40="","",'結果入力表'!F40)</f>
        <v>36</v>
      </c>
      <c r="F8" s="172">
        <f>IF('結果入力表'!F61="","",'結果入力表'!F61)</f>
        <v>35</v>
      </c>
      <c r="G8" s="172">
        <f>IF('結果入力表'!F82="","",'結果入力表'!F82)</f>
        <v>11</v>
      </c>
      <c r="H8" s="176" t="str">
        <f>IF('結果入力表'!F103="","",'結果入力表'!F103)</f>
        <v>w</v>
      </c>
      <c r="I8" s="179" t="str">
        <f>IF('結果入力表'!F124="","",'結果入力表'!F124)</f>
        <v>w</v>
      </c>
      <c r="J8" s="172">
        <f>IF('結果入力表'!F145="","",'結果入力表'!F145)</f>
        <v>55</v>
      </c>
      <c r="K8" s="172" t="str">
        <f>IF('結果入力表'!F166="","",'結果入力表'!F166)</f>
        <v>w</v>
      </c>
      <c r="L8" s="172" t="str">
        <f>IF('結果入力表'!F187="","",'結果入力表'!F187)</f>
        <v>w</v>
      </c>
      <c r="M8" s="176" t="str">
        <f>IF('結果入力表'!F208="","",'結果入力表'!F208)</f>
        <v>w</v>
      </c>
      <c r="N8" s="399">
        <f t="shared" si="0"/>
        <v>5</v>
      </c>
      <c r="O8" s="10">
        <f t="shared" si="1"/>
        <v>5</v>
      </c>
      <c r="P8" s="86">
        <f t="shared" si="2"/>
        <v>843</v>
      </c>
      <c r="Q8" s="86">
        <f>IF(N8="","",IF(C8='登録'!$I$8,P8,N8*'登録'!$I$8+SUM(D8:M8)/'★個人成績表★'!C8*'登録'!$I$8))</f>
        <v>843</v>
      </c>
      <c r="R8" s="390">
        <f t="shared" si="3"/>
      </c>
      <c r="S8" s="398">
        <f t="shared" si="4"/>
        <v>843</v>
      </c>
      <c r="T8" s="29">
        <f>IF(COUNTBLANK(D8:M8)=10,"",RANK(AA8,$AA5:$AA11))</f>
        <v>6</v>
      </c>
      <c r="U8" s="385">
        <f>IF('★対戦リーグ表★'!BS9=0,"",'★対戦リーグ表★'!BS9)</f>
        <v>107</v>
      </c>
      <c r="V8" s="142"/>
      <c r="W8" s="218" t="str">
        <f t="shared" si="5"/>
        <v>伊庭 保久</v>
      </c>
      <c r="X8" s="219">
        <f t="shared" si="6"/>
        <v>5</v>
      </c>
      <c r="Y8" s="220">
        <f t="shared" si="7"/>
        <v>5</v>
      </c>
      <c r="Z8" s="221">
        <f t="shared" si="8"/>
        <v>843</v>
      </c>
      <c r="AA8" s="222">
        <f t="shared" si="9"/>
        <v>5000843</v>
      </c>
      <c r="AB8" s="142"/>
    </row>
    <row r="9" spans="1:28" ht="14.25" customHeight="1">
      <c r="A9" s="496"/>
      <c r="B9" s="406" t="str">
        <f>IF('登録'!AG6=0,"",'登録'!AG6)</f>
        <v>菊池 靖正</v>
      </c>
      <c r="C9" s="33">
        <f>'登録'!R17</f>
        <v>120</v>
      </c>
      <c r="D9" s="171">
        <f>IF('結果入力表'!F20="","",'結果入力表'!F20)</f>
        <v>0</v>
      </c>
      <c r="E9" s="172" t="str">
        <f>IF('結果入力表'!F41="","",'結果入力表'!F41)</f>
        <v>w</v>
      </c>
      <c r="F9" s="172" t="str">
        <f>IF('結果入力表'!F62="","",'結果入力表'!F62)</f>
        <v>w</v>
      </c>
      <c r="G9" s="172">
        <f>IF('結果入力表'!F83="","",'結果入力表'!F83)</f>
        <v>79</v>
      </c>
      <c r="H9" s="176">
        <f>IF('結果入力表'!F104="","",'結果入力表'!F104)</f>
        <v>20</v>
      </c>
      <c r="I9" s="179">
        <f>IF('結果入力表'!F125="","",'結果入力表'!F125)</f>
        <v>28</v>
      </c>
      <c r="J9" s="172" t="str">
        <f>IF('結果入力表'!F146="","",'結果入力表'!F146)</f>
        <v>w</v>
      </c>
      <c r="K9" s="172">
        <f>IF('結果入力表'!F167="","",'結果入力表'!F167)</f>
        <v>0</v>
      </c>
      <c r="L9" s="172">
        <f>IF('結果入力表'!F188="","",'結果入力表'!F188)</f>
        <v>68</v>
      </c>
      <c r="M9" s="176" t="str">
        <f>IF('結果入力表'!F209="","",'結果入力表'!F209)</f>
        <v>w</v>
      </c>
      <c r="N9" s="399">
        <f t="shared" si="0"/>
        <v>4</v>
      </c>
      <c r="O9" s="10">
        <f t="shared" si="1"/>
        <v>6</v>
      </c>
      <c r="P9" s="86">
        <f t="shared" si="2"/>
        <v>675</v>
      </c>
      <c r="Q9" s="86">
        <f>IF(N9="","",IF(C9='登録'!$I$8,P9,N9*'登録'!$I$8+SUM(D9:M9)/'★個人成績表★'!C9*'登録'!$I$8))</f>
        <v>675</v>
      </c>
      <c r="R9" s="390">
        <f t="shared" si="3"/>
      </c>
      <c r="S9" s="398">
        <f t="shared" si="4"/>
        <v>675</v>
      </c>
      <c r="T9" s="27">
        <f>IF(COUNTBLANK(D9:M9)=10,"",RANK(AA9,$AA5:$AA11))</f>
        <v>7</v>
      </c>
      <c r="U9" s="385">
        <f>IF('★対戦リーグ表★'!BS10=0,"",'★対戦リーグ表★'!BS10)</f>
      </c>
      <c r="V9" s="142"/>
      <c r="W9" s="218" t="str">
        <f t="shared" si="5"/>
        <v>菊池 靖正</v>
      </c>
      <c r="X9" s="219">
        <f t="shared" si="6"/>
        <v>4</v>
      </c>
      <c r="Y9" s="220">
        <f t="shared" si="7"/>
        <v>6</v>
      </c>
      <c r="Z9" s="221">
        <f t="shared" si="8"/>
        <v>675</v>
      </c>
      <c r="AA9" s="222">
        <f t="shared" si="9"/>
        <v>4000675</v>
      </c>
      <c r="AB9" s="142"/>
    </row>
    <row r="10" spans="1:36" ht="14.25" customHeight="1">
      <c r="A10" s="496"/>
      <c r="B10" s="406" t="str">
        <f>IF('登録'!AG7=0,"",'登録'!AG7)</f>
        <v>田附 裕次</v>
      </c>
      <c r="C10" s="33">
        <f>'登録'!U17</f>
        <v>120</v>
      </c>
      <c r="D10" s="171" t="str">
        <f>IF('結果入力表'!F21="","",'結果入力表'!F21)</f>
        <v>w</v>
      </c>
      <c r="E10" s="172" t="str">
        <f>IF('結果入力表'!F42="","",'結果入力表'!F42)</f>
        <v>w</v>
      </c>
      <c r="F10" s="172" t="str">
        <f>IF('結果入力表'!F63="","",'結果入力表'!F63)</f>
        <v>w</v>
      </c>
      <c r="G10" s="172" t="str">
        <f>IF('結果入力表'!F84="","",'結果入力表'!F84)</f>
        <v>w</v>
      </c>
      <c r="H10" s="176" t="str">
        <f>IF('結果入力表'!F105="","",'結果入力表'!F105)</f>
        <v>w</v>
      </c>
      <c r="I10" s="179" t="str">
        <f>IF('結果入力表'!F126="","",'結果入力表'!F126)</f>
        <v>w</v>
      </c>
      <c r="J10" s="172">
        <f>IF('結果入力表'!F147="","",'結果入力表'!F147)</f>
        <v>28</v>
      </c>
      <c r="K10" s="172" t="str">
        <f>IF('結果入力表'!F168="","",'結果入力表'!F168)</f>
        <v>w</v>
      </c>
      <c r="L10" s="172">
        <f>IF('結果入力表'!F189="","",'結果入力表'!F189)</f>
        <v>0</v>
      </c>
      <c r="M10" s="176" t="str">
        <f>IF('結果入力表'!F210="","",'結果入力表'!F210)</f>
        <v>w</v>
      </c>
      <c r="N10" s="399">
        <f t="shared" si="0"/>
        <v>8</v>
      </c>
      <c r="O10" s="10">
        <f t="shared" si="1"/>
        <v>2</v>
      </c>
      <c r="P10" s="86">
        <f t="shared" si="2"/>
        <v>988</v>
      </c>
      <c r="Q10" s="86">
        <f>IF(N10="","",IF(C10='登録'!$I$8,P10,N10*'登録'!$I$8+SUM(D10:M10)/'★個人成績表★'!C10*'登録'!$I$8))</f>
        <v>988</v>
      </c>
      <c r="R10" s="390">
        <f t="shared" si="3"/>
      </c>
      <c r="S10" s="398">
        <f t="shared" si="4"/>
        <v>988</v>
      </c>
      <c r="T10" s="29">
        <f>IF(COUNTBLANK(D10:M10)=10,"",RANK(AA10,$AA5:$AA11))</f>
        <v>3</v>
      </c>
      <c r="U10" s="385">
        <f>IF('★対戦リーグ表★'!BS11=0,"",'★対戦リーグ表★'!BS11)</f>
        <v>108</v>
      </c>
      <c r="V10" s="142"/>
      <c r="W10" s="218" t="str">
        <f t="shared" si="5"/>
        <v>田附 裕次</v>
      </c>
      <c r="X10" s="219">
        <f t="shared" si="6"/>
        <v>8</v>
      </c>
      <c r="Y10" s="220">
        <f t="shared" si="7"/>
        <v>2</v>
      </c>
      <c r="Z10" s="221">
        <f t="shared" si="8"/>
        <v>988</v>
      </c>
      <c r="AA10" s="222">
        <f t="shared" si="9"/>
        <v>8000988</v>
      </c>
      <c r="AB10" s="142"/>
      <c r="AJ10" s="362"/>
    </row>
    <row r="11" spans="1:36" ht="14.25" customHeight="1" thickBot="1">
      <c r="A11" s="496"/>
      <c r="B11" s="407" t="str">
        <f>IF('登録'!AG8=0,"",'登録'!AG8)</f>
        <v>森田由佳里</v>
      </c>
      <c r="C11" s="193">
        <f>'登録'!X17</f>
        <v>100</v>
      </c>
      <c r="D11" s="194" t="str">
        <f>IF('結果入力表'!F22="","",'結果入力表'!F22)</f>
        <v>w</v>
      </c>
      <c r="E11" s="195" t="str">
        <f>IF('結果入力表'!F43="","",'結果入力表'!F43)</f>
        <v>w</v>
      </c>
      <c r="F11" s="195" t="str">
        <f>IF('結果入力表'!F64="","",'結果入力表'!F64)</f>
        <v>w</v>
      </c>
      <c r="G11" s="195" t="str">
        <f>IF('結果入力表'!F85="","",'結果入力表'!F85)</f>
        <v>w</v>
      </c>
      <c r="H11" s="196" t="str">
        <f>IF('結果入力表'!F106="","",'結果入力表'!F106)</f>
        <v>w</v>
      </c>
      <c r="I11" s="197" t="str">
        <f>IF('結果入力表'!F127="","",'結果入力表'!F127)</f>
        <v>w</v>
      </c>
      <c r="J11" s="195">
        <f>IF('結果入力表'!F148="","",'結果入力表'!F148)</f>
        <v>95</v>
      </c>
      <c r="K11" s="195">
        <f>IF('結果入力表'!F169="","",'結果入力表'!F169)</f>
        <v>6</v>
      </c>
      <c r="L11" s="195">
        <f>IF('結果入力表'!F190="","",'結果入力表'!F190)</f>
        <v>29</v>
      </c>
      <c r="M11" s="196">
        <f>IF('結果入力表'!F211="","",'結果入力表'!F211)</f>
        <v>86</v>
      </c>
      <c r="N11" s="400">
        <f t="shared" si="0"/>
        <v>6</v>
      </c>
      <c r="O11" s="198">
        <f t="shared" si="1"/>
        <v>4</v>
      </c>
      <c r="P11" s="199">
        <f t="shared" si="2"/>
        <v>816</v>
      </c>
      <c r="Q11" s="199">
        <f>IF(N11="","",IF(C11='登録'!$I$8,P11,N11*'登録'!$I$8+SUM(D11:M11)/'★個人成績表★'!C11*'登録'!$I$8))</f>
        <v>979.2</v>
      </c>
      <c r="R11" s="391" t="str">
        <f t="shared" si="3"/>
        <v>*</v>
      </c>
      <c r="S11" s="401">
        <f t="shared" si="4"/>
        <v>979.2</v>
      </c>
      <c r="T11" s="192">
        <f>IF(COUNTBLANK(D11:M11)=10,"",RANK(AA11,$AA5:$AA11))</f>
        <v>5</v>
      </c>
      <c r="U11" s="386">
        <f>IF('★対戦リーグ表★'!BS12=0,"",'★対戦リーグ表★'!BS12)</f>
      </c>
      <c r="V11" s="142"/>
      <c r="W11" s="237" t="str">
        <f t="shared" si="5"/>
        <v>森田由佳里</v>
      </c>
      <c r="X11" s="238">
        <f t="shared" si="6"/>
        <v>6</v>
      </c>
      <c r="Y11" s="239">
        <f t="shared" si="7"/>
        <v>4</v>
      </c>
      <c r="Z11" s="240">
        <f t="shared" si="8"/>
        <v>979.2</v>
      </c>
      <c r="AA11" s="241">
        <f t="shared" si="9"/>
        <v>6000979.2</v>
      </c>
      <c r="AB11" s="142"/>
      <c r="AC11" s="245" t="s">
        <v>86</v>
      </c>
      <c r="AJ11" s="362"/>
    </row>
    <row r="12" spans="1:36" ht="14.25" customHeight="1" thickBot="1" thickTop="1">
      <c r="A12" s="497"/>
      <c r="B12" s="211" t="s">
        <v>84</v>
      </c>
      <c r="C12" s="34"/>
      <c r="D12" s="173"/>
      <c r="E12" s="174"/>
      <c r="F12" s="174"/>
      <c r="G12" s="174"/>
      <c r="H12" s="177"/>
      <c r="I12" s="180"/>
      <c r="J12" s="174"/>
      <c r="K12" s="174"/>
      <c r="L12" s="174"/>
      <c r="M12" s="177"/>
      <c r="N12" s="402">
        <f>IF(COUNTBLANK(N5:N11)=7,"",SUM(N5:N11))</f>
        <v>46</v>
      </c>
      <c r="O12" s="11">
        <f>IF(COUNTBLANK(O5:O11)=7,"",SUM(O5:O11))</f>
        <v>24</v>
      </c>
      <c r="P12" s="87">
        <f>IF(COUNTBLANK(P5:P11)=7,"",SUM(P5:P11))</f>
        <v>6397</v>
      </c>
      <c r="Q12" s="87">
        <f>IF(COUNTBLANK(Q5:Q11)=7,"",SUM(Q5:Q11))</f>
        <v>6560.2</v>
      </c>
      <c r="R12" s="392" t="str">
        <f t="shared" si="3"/>
        <v>*</v>
      </c>
      <c r="S12" s="403">
        <f>IF(COUNTBLANK(S5:S11)=7,"",IF(Q12=P12,P12,Q12))</f>
        <v>6560.2</v>
      </c>
      <c r="T12" s="12"/>
      <c r="U12" s="387"/>
      <c r="V12" s="142"/>
      <c r="W12" s="227"/>
      <c r="X12" s="228">
        <f t="shared" si="6"/>
        <v>46</v>
      </c>
      <c r="Y12" s="229">
        <f t="shared" si="7"/>
        <v>24</v>
      </c>
      <c r="Z12" s="230">
        <f t="shared" si="8"/>
        <v>6560.2</v>
      </c>
      <c r="AA12" s="231">
        <f t="shared" si="9"/>
        <v>46006560.2</v>
      </c>
      <c r="AB12" s="142"/>
      <c r="AC12" s="246">
        <v>1</v>
      </c>
      <c r="AD12" s="247" t="str">
        <f>VLOOKUP($AC12,$AC15:$AI20,2,FALSE)</f>
        <v>ORC</v>
      </c>
      <c r="AE12" s="247" t="str">
        <f>VLOOKUP($AC12,$AC15:$AI20,3,FALSE)</f>
        <v>村上 泰辰</v>
      </c>
      <c r="AF12" s="247">
        <f>VLOOKUP($AC12,$AC15:$AI20,4,FALSE)</f>
        <v>8</v>
      </c>
      <c r="AG12" s="247">
        <f>VLOOKUP($AC12,$AC15:$AI20,5,FALSE)</f>
        <v>2</v>
      </c>
      <c r="AH12" s="247">
        <f>VLOOKUP($AC12,$AC15:$AI20,6,FALSE)</f>
        <v>1157</v>
      </c>
      <c r="AI12" s="248">
        <f>VLOOKUP($AC12,$AC15:$AI20,7,FALSE)</f>
        <v>8001157</v>
      </c>
      <c r="AJ12" s="363" t="str">
        <f>AE12&amp;"("&amp;AD12&amp;")　"&amp;AF12&amp;"勝"&amp;AG12&amp;"敗"</f>
        <v>村上 泰辰(ORC)　8勝2敗</v>
      </c>
    </row>
    <row r="13" spans="1:36" ht="14.25" customHeight="1" thickBot="1">
      <c r="A13" s="492" t="str">
        <f>IF('登録'!B18="","",'登録'!B18)</f>
        <v>HRC</v>
      </c>
      <c r="B13" s="210" t="str">
        <f>B4</f>
        <v>Player＼VS</v>
      </c>
      <c r="C13" s="31" t="str">
        <f>C4</f>
        <v>持点</v>
      </c>
      <c r="D13" s="212" t="str">
        <f>'登録'!BI4</f>
        <v>SBC</v>
      </c>
      <c r="E13" s="213" t="str">
        <f>'登録'!BJ4</f>
        <v>ORC</v>
      </c>
      <c r="F13" s="213" t="str">
        <f>'登録'!BK4</f>
        <v>WRC</v>
      </c>
      <c r="G13" s="213" t="str">
        <f>'登録'!BL4</f>
        <v>NRC</v>
      </c>
      <c r="H13" s="214" t="str">
        <f>'登録'!BM4</f>
        <v>KRC</v>
      </c>
      <c r="I13" s="215" t="str">
        <f>D13</f>
        <v>SBC</v>
      </c>
      <c r="J13" s="213" t="str">
        <f>E13</f>
        <v>ORC</v>
      </c>
      <c r="K13" s="213" t="str">
        <f>F13</f>
        <v>WRC</v>
      </c>
      <c r="L13" s="213" t="str">
        <f>G13</f>
        <v>NRC</v>
      </c>
      <c r="M13" s="214" t="str">
        <f>H13</f>
        <v>KRC</v>
      </c>
      <c r="N13" s="394" t="s">
        <v>79</v>
      </c>
      <c r="O13" s="207" t="s">
        <v>80</v>
      </c>
      <c r="P13" s="208" t="s">
        <v>81</v>
      </c>
      <c r="Q13" s="208" t="s">
        <v>82</v>
      </c>
      <c r="R13" s="393" t="s">
        <v>28</v>
      </c>
      <c r="S13" s="404"/>
      <c r="T13" s="209" t="s">
        <v>78</v>
      </c>
      <c r="U13" s="383" t="s">
        <v>87</v>
      </c>
      <c r="V13" s="142"/>
      <c r="W13" s="223" t="s">
        <v>89</v>
      </c>
      <c r="X13" s="224" t="s">
        <v>16</v>
      </c>
      <c r="Y13" s="225" t="s">
        <v>17</v>
      </c>
      <c r="Z13" s="225" t="s">
        <v>18</v>
      </c>
      <c r="AA13" s="226" t="s">
        <v>27</v>
      </c>
      <c r="AB13" s="142"/>
      <c r="AC13" s="245" t="s">
        <v>55</v>
      </c>
      <c r="AJ13" s="362"/>
    </row>
    <row r="14" spans="1:36" ht="14.25" customHeight="1" thickBot="1" thickTop="1">
      <c r="A14" s="493"/>
      <c r="B14" s="405" t="str">
        <f>IF('登録'!AG11=0,"",'登録'!AG11)</f>
        <v>堂園 雅也</v>
      </c>
      <c r="C14" s="32">
        <f>'登録'!F18</f>
        <v>120</v>
      </c>
      <c r="D14" s="169" t="str">
        <f>IF('結果入力表'!F9="","",'結果入力表'!F9)</f>
        <v>w</v>
      </c>
      <c r="E14" s="170">
        <f>IF('結果入力表'!F23="","",'結果入力表'!F23)</f>
        <v>0</v>
      </c>
      <c r="F14" s="170" t="str">
        <f>IF('結果入力表'!G44="","",'結果入力表'!G44)</f>
        <v>w</v>
      </c>
      <c r="G14" s="170">
        <f>IF('結果入力表'!G72="","",'結果入力表'!G72)</f>
        <v>70</v>
      </c>
      <c r="H14" s="175" t="str">
        <f>IF('結果入力表'!G100="","",'結果入力表'!G100)</f>
        <v>w</v>
      </c>
      <c r="I14" s="439">
        <f>IF('結果入力表'!F120="","",'結果入力表'!F120)</f>
        <v>78</v>
      </c>
      <c r="J14" s="373" t="str">
        <f>IF('結果入力表'!F134="","",'結果入力表'!F134)</f>
        <v>w</v>
      </c>
      <c r="K14" s="373" t="str">
        <f>IF('結果入力表'!G155="","",'結果入力表'!G155)</f>
        <v>w</v>
      </c>
      <c r="L14" s="373">
        <f>IF('結果入力表'!G183="","",'結果入力表'!G183)</f>
        <v>60</v>
      </c>
      <c r="M14" s="440" t="str">
        <f>IF('結果入力表'!G211="","",'結果入力表'!G211)</f>
        <v>w</v>
      </c>
      <c r="N14" s="395">
        <f>IF(COUNTBLANK(D14:M14)=10,"",COUNTIF(D14:M14,"w"))</f>
        <v>6</v>
      </c>
      <c r="O14" s="8">
        <f>IF(COUNTBLANK(D14:M14)=10,"",10-COUNTBLANK(D14:M14)-N14)</f>
        <v>4</v>
      </c>
      <c r="P14" s="89">
        <f>IF(N14="","",N14*C14+SUM(D14:M14))</f>
        <v>928</v>
      </c>
      <c r="Q14" s="89">
        <f>IF(N14="","",IF(C14='登録'!$I$8,P14,N14*'登録'!$I$8+SUM(D14:M14)/'★個人成績表★'!C14*'登録'!$I$8))</f>
        <v>928</v>
      </c>
      <c r="R14" s="389">
        <f aca="true" t="shared" si="10" ref="R14:R21">IF(P14=Q14,"","*")</f>
      </c>
      <c r="S14" s="396">
        <f aca="true" t="shared" si="11" ref="S14:S20">IF(COUNTBLANK(D14:M14)=10,"",Q14)</f>
        <v>928</v>
      </c>
      <c r="T14" s="28">
        <f>IF(COUNTBLANK(D14:M14)=10,"",RANK(AA14,$AA14:$AA20))</f>
        <v>1</v>
      </c>
      <c r="U14" s="384">
        <f>IF('★対戦リーグ表★'!BS15=0,"",'★対戦リーグ表★'!BS15)</f>
        <v>120</v>
      </c>
      <c r="V14" s="142"/>
      <c r="W14" s="232" t="str">
        <f aca="true" t="shared" si="12" ref="W14:W56">B14</f>
        <v>堂園 雅也</v>
      </c>
      <c r="X14" s="233">
        <f aca="true" t="shared" si="13" ref="X14:Y21">N14</f>
        <v>6</v>
      </c>
      <c r="Y14" s="234">
        <f t="shared" si="13"/>
        <v>4</v>
      </c>
      <c r="Z14" s="235">
        <f aca="true" t="shared" si="14" ref="Z14:Z21">Q14</f>
        <v>928</v>
      </c>
      <c r="AA14" s="236">
        <f>X14*1000000+Z14</f>
        <v>6000928</v>
      </c>
      <c r="AB14" s="142"/>
      <c r="AC14" s="259" t="s">
        <v>92</v>
      </c>
      <c r="AD14" s="260" t="s">
        <v>88</v>
      </c>
      <c r="AE14" s="260" t="s">
        <v>89</v>
      </c>
      <c r="AF14" s="261" t="s">
        <v>79</v>
      </c>
      <c r="AG14" s="261" t="s">
        <v>80</v>
      </c>
      <c r="AH14" s="262" t="s">
        <v>28</v>
      </c>
      <c r="AI14" s="263" t="s">
        <v>90</v>
      </c>
      <c r="AJ14" s="362"/>
    </row>
    <row r="15" spans="1:36" ht="14.25" customHeight="1" thickTop="1">
      <c r="A15" s="493"/>
      <c r="B15" s="406" t="str">
        <f>IF('登録'!AG12=0,"",'登録'!AG12)</f>
        <v>長井　充</v>
      </c>
      <c r="C15" s="33">
        <f>'登録'!I18</f>
        <v>120</v>
      </c>
      <c r="D15" s="171" t="str">
        <f>IF('結果入力表'!F10="","",'結果入力表'!F10)</f>
        <v>w</v>
      </c>
      <c r="E15" s="172">
        <f>IF('結果入力表'!F24="","",'結果入力表'!F24)</f>
        <v>34</v>
      </c>
      <c r="F15" s="172">
        <f>IF('結果入力表'!G45="","",'結果入力表'!G45)</f>
        <v>83</v>
      </c>
      <c r="G15" s="172" t="str">
        <f>IF('結果入力表'!G73="","",'結果入力表'!G73)</f>
        <v>w</v>
      </c>
      <c r="H15" s="176">
        <f>IF('結果入力表'!G101="","",'結果入力表'!G101)</f>
        <v>57</v>
      </c>
      <c r="I15" s="179" t="str">
        <f>IF('結果入力表'!F114="","",'結果入力表'!F114)</f>
        <v>w</v>
      </c>
      <c r="J15" s="172">
        <f>IF('結果入力表'!F128="","",'結果入力表'!F128)</f>
        <v>62</v>
      </c>
      <c r="K15" s="172" t="str">
        <f>IF('結果入力表'!G149="","",'結果入力表'!G149)</f>
        <v>w</v>
      </c>
      <c r="L15" s="172">
        <f>IF('結果入力表'!G177="","",'結果入力表'!G177)</f>
        <v>15</v>
      </c>
      <c r="M15" s="176">
        <f>IF('結果入力表'!G205="","",'結果入力表'!G205)</f>
        <v>64</v>
      </c>
      <c r="N15" s="397">
        <f aca="true" t="shared" si="15" ref="N15:N20">IF(COUNTBLANK(D15:M15)=10,"",COUNTIF(D15:M15,"w"))</f>
        <v>4</v>
      </c>
      <c r="O15" s="9">
        <f aca="true" t="shared" si="16" ref="O15:O20">IF(COUNTBLANK(D15:M15)=10,"",10-COUNTBLANK(D15:M15)-N15)</f>
        <v>6</v>
      </c>
      <c r="P15" s="86">
        <f aca="true" t="shared" si="17" ref="P15:P20">IF(N15="","",N15*C15+SUM(D15:M15))</f>
        <v>795</v>
      </c>
      <c r="Q15" s="86">
        <f>IF(N15="","",IF(C15='登録'!$I$8,P15,N15*'登録'!$I$8+SUM(D15:M15)/'★個人成績表★'!C15*'登録'!$I$8))</f>
        <v>795</v>
      </c>
      <c r="R15" s="390">
        <f t="shared" si="10"/>
      </c>
      <c r="S15" s="398">
        <f t="shared" si="11"/>
        <v>795</v>
      </c>
      <c r="T15" s="29">
        <f>IF(COUNTBLANK(D15:M15)=10,"",RANK(AA15,$AA14:$AA20))</f>
        <v>2</v>
      </c>
      <c r="U15" s="385">
        <f>IF('★対戦リーグ表★'!BS16=0,"",'★対戦リーグ表★'!BS16)</f>
        <v>100</v>
      </c>
      <c r="V15" s="142"/>
      <c r="W15" s="218" t="str">
        <f t="shared" si="12"/>
        <v>長井　充</v>
      </c>
      <c r="X15" s="219">
        <f t="shared" si="13"/>
        <v>4</v>
      </c>
      <c r="Y15" s="220">
        <f t="shared" si="13"/>
        <v>6</v>
      </c>
      <c r="Z15" s="221">
        <f t="shared" si="14"/>
        <v>795</v>
      </c>
      <c r="AA15" s="222">
        <f aca="true" t="shared" si="18" ref="AA15:AA21">X15*1000000+Z15</f>
        <v>4000795</v>
      </c>
      <c r="AB15" s="142"/>
      <c r="AC15" s="256">
        <f aca="true" t="shared" si="19" ref="AC15:AC20">RANK(AI15,$AI$15:$AI$20)</f>
        <v>2</v>
      </c>
      <c r="AD15" s="257" t="str">
        <f>A4</f>
        <v>KRC</v>
      </c>
      <c r="AE15" s="257" t="str">
        <f>VLOOKUP(1,$T5:$AA11,4,FALSE)</f>
        <v>今村 哲也</v>
      </c>
      <c r="AF15" s="257">
        <f>VLOOKUP(1,$T5:$AA11,5,FALSE)</f>
        <v>8</v>
      </c>
      <c r="AG15" s="257">
        <f>VLOOKUP(1,$T5:$AA11,6,FALSE)</f>
        <v>2</v>
      </c>
      <c r="AH15" s="257">
        <f>VLOOKUP(1,$T5:$AA11,7,FALSE)</f>
        <v>1076</v>
      </c>
      <c r="AI15" s="258">
        <f>VLOOKUP(1,$T5:$AA11,8,FALSE)</f>
        <v>8001076</v>
      </c>
      <c r="AJ15" s="363" t="str">
        <f aca="true" t="shared" si="20" ref="AJ15:AJ20">AE15&amp;"("&amp;AD15&amp;")　"&amp;AF15&amp;"勝"&amp;AG15&amp;"敗"</f>
        <v>今村 哲也(KRC)　8勝2敗</v>
      </c>
    </row>
    <row r="16" spans="1:36" ht="14.25" customHeight="1">
      <c r="A16" s="493"/>
      <c r="B16" s="406" t="str">
        <f>IF('登録'!AG13=0,"",'登録'!AG13)</f>
        <v>藤中健太郎</v>
      </c>
      <c r="C16" s="33">
        <f>'登録'!L18</f>
        <v>120</v>
      </c>
      <c r="D16" s="171">
        <f>IF('結果入力表'!F11="","",'結果入力表'!F11)</f>
        <v>26</v>
      </c>
      <c r="E16" s="172">
        <f>IF('結果入力表'!F25="","",'結果入力表'!F25)</f>
        <v>100</v>
      </c>
      <c r="F16" s="172" t="str">
        <f>IF('結果入力表'!G46="","",'結果入力表'!G46)</f>
        <v>w</v>
      </c>
      <c r="G16" s="172">
        <f>IF('結果入力表'!G74="","",'結果入力表'!G74)</f>
        <v>56</v>
      </c>
      <c r="H16" s="176">
        <f>IF('結果入力表'!G102="","",'結果入力表'!G102)</f>
        <v>0</v>
      </c>
      <c r="I16" s="179" t="str">
        <f>IF('結果入力表'!F115="","",'結果入力表'!F115)</f>
        <v>w</v>
      </c>
      <c r="J16" s="172" t="str">
        <f>IF('結果入力表'!F129="","",'結果入力表'!F129)</f>
        <v>w</v>
      </c>
      <c r="K16" s="172">
        <f>IF('結果入力表'!G150="","",'結果入力表'!G150)</f>
        <v>2</v>
      </c>
      <c r="L16" s="172">
        <f>IF('結果入力表'!G178="","",'結果入力表'!G178)</f>
        <v>50</v>
      </c>
      <c r="M16" s="176">
        <f>IF('結果入力表'!G206="","",'結果入力表'!G206)</f>
        <v>13</v>
      </c>
      <c r="N16" s="399">
        <f t="shared" si="15"/>
        <v>3</v>
      </c>
      <c r="O16" s="10">
        <f t="shared" si="16"/>
        <v>7</v>
      </c>
      <c r="P16" s="86">
        <f t="shared" si="17"/>
        <v>607</v>
      </c>
      <c r="Q16" s="86">
        <f>IF(N16="","",IF(C16='登録'!$I$8,P16,N16*'登録'!$I$8+SUM(D16:M16)/'★個人成績表★'!C16*'登録'!$I$8))</f>
        <v>607</v>
      </c>
      <c r="R16" s="390">
        <f t="shared" si="10"/>
      </c>
      <c r="S16" s="398">
        <f t="shared" si="11"/>
        <v>607</v>
      </c>
      <c r="T16" s="27">
        <f>IF(COUNTBLANK(D16:M16)=10,"",RANK(AA16,$AA14:$AA20))</f>
        <v>5</v>
      </c>
      <c r="U16" s="385">
        <f>IF('★対戦リーグ表★'!BS17=0,"",'★対戦リーグ表★'!BS17)</f>
        <v>100</v>
      </c>
      <c r="V16" s="142"/>
      <c r="W16" s="218" t="str">
        <f t="shared" si="12"/>
        <v>藤中健太郎</v>
      </c>
      <c r="X16" s="219">
        <f t="shared" si="13"/>
        <v>3</v>
      </c>
      <c r="Y16" s="220">
        <f t="shared" si="13"/>
        <v>7</v>
      </c>
      <c r="Z16" s="221">
        <f t="shared" si="14"/>
        <v>607</v>
      </c>
      <c r="AA16" s="222">
        <f t="shared" si="18"/>
        <v>3000607</v>
      </c>
      <c r="AB16" s="142"/>
      <c r="AC16" s="250">
        <f t="shared" si="19"/>
        <v>6</v>
      </c>
      <c r="AD16" s="251" t="str">
        <f>A13</f>
        <v>HRC</v>
      </c>
      <c r="AE16" s="251" t="str">
        <f>VLOOKUP(1,$T14:$AA20,4,FALSE)</f>
        <v>堂園 雅也</v>
      </c>
      <c r="AF16" s="251">
        <f>VLOOKUP(1,$T14:$AA20,5,FALSE)</f>
        <v>6</v>
      </c>
      <c r="AG16" s="251">
        <f>VLOOKUP(1,$T14:$AA20,6,FALSE)</f>
        <v>4</v>
      </c>
      <c r="AH16" s="251">
        <f>VLOOKUP(1,$T14:$AA20,7,FALSE)</f>
        <v>928</v>
      </c>
      <c r="AI16" s="252">
        <f>VLOOKUP(1,$T14:$AA20,8,FALSE)</f>
        <v>6000928</v>
      </c>
      <c r="AJ16" s="363" t="str">
        <f t="shared" si="20"/>
        <v>堂園 雅也(HRC)　6勝4敗</v>
      </c>
    </row>
    <row r="17" spans="1:36" ht="14.25" customHeight="1">
      <c r="A17" s="493"/>
      <c r="B17" s="406" t="str">
        <f>IF('登録'!AG14=0,"",'登録'!AG14)</f>
        <v>後藤 勇治</v>
      </c>
      <c r="C17" s="33">
        <f>'登録'!O18</f>
        <v>120</v>
      </c>
      <c r="D17" s="171" t="str">
        <f>IF('結果入力表'!F12="","",'結果入力表'!F12)</f>
        <v>w</v>
      </c>
      <c r="E17" s="172">
        <f>IF('結果入力表'!F26="","",'結果入力表'!F26)</f>
        <v>40</v>
      </c>
      <c r="F17" s="172">
        <f>IF('結果入力表'!G47="","",'結果入力表'!G47)</f>
        <v>2</v>
      </c>
      <c r="G17" s="172">
        <f>IF('結果入力表'!G75="","",'結果入力表'!G75)</f>
        <v>28</v>
      </c>
      <c r="H17" s="176">
        <f>IF('結果入力表'!G103="","",'結果入力表'!G103)</f>
        <v>47</v>
      </c>
      <c r="I17" s="179" t="str">
        <f>IF('結果入力表'!F116="","",'結果入力表'!F116)</f>
        <v>w</v>
      </c>
      <c r="J17" s="172">
        <f>IF('結果入力表'!F130="","",'結果入力表'!F130)</f>
        <v>13</v>
      </c>
      <c r="K17" s="172">
        <f>IF('結果入力表'!G151="","",'結果入力表'!G151)</f>
        <v>77</v>
      </c>
      <c r="L17" s="172">
        <f>IF('結果入力表'!G179="","",'結果入力表'!G179)</f>
        <v>81</v>
      </c>
      <c r="M17" s="176">
        <f>IF('結果入力表'!G207="","",'結果入力表'!G207)</f>
        <v>16</v>
      </c>
      <c r="N17" s="399">
        <f t="shared" si="15"/>
        <v>2</v>
      </c>
      <c r="O17" s="10">
        <f t="shared" si="16"/>
        <v>8</v>
      </c>
      <c r="P17" s="86">
        <f t="shared" si="17"/>
        <v>544</v>
      </c>
      <c r="Q17" s="86">
        <f>IF(N17="","",IF(C17='登録'!$I$8,P17,N17*'登録'!$I$8+SUM(D17:M17)/'★個人成績表★'!C17*'登録'!$I$8))</f>
        <v>544</v>
      </c>
      <c r="R17" s="390">
        <f t="shared" si="10"/>
      </c>
      <c r="S17" s="398">
        <f t="shared" si="11"/>
        <v>544</v>
      </c>
      <c r="T17" s="29">
        <f>IF(COUNTBLANK(D17:M17)=10,"",RANK(AA17,$AA14:$AA20))</f>
        <v>7</v>
      </c>
      <c r="U17" s="385">
        <f>IF('★対戦リーグ表★'!BS18=0,"",'★対戦リーグ表★'!BS18)</f>
      </c>
      <c r="V17" s="142"/>
      <c r="W17" s="218" t="str">
        <f t="shared" si="12"/>
        <v>後藤 勇治</v>
      </c>
      <c r="X17" s="219">
        <f t="shared" si="13"/>
        <v>2</v>
      </c>
      <c r="Y17" s="220">
        <f t="shared" si="13"/>
        <v>8</v>
      </c>
      <c r="Z17" s="221">
        <f t="shared" si="14"/>
        <v>544</v>
      </c>
      <c r="AA17" s="222">
        <f t="shared" si="18"/>
        <v>2000544</v>
      </c>
      <c r="AB17" s="142"/>
      <c r="AC17" s="250">
        <f t="shared" si="19"/>
        <v>1</v>
      </c>
      <c r="AD17" s="251" t="str">
        <f>A22</f>
        <v>ORC</v>
      </c>
      <c r="AE17" s="251" t="str">
        <f>VLOOKUP(1,$T23:$AA29,4,FALSE)</f>
        <v>村上 泰辰</v>
      </c>
      <c r="AF17" s="251">
        <f>VLOOKUP(1,$T23:$AA29,5,FALSE)</f>
        <v>8</v>
      </c>
      <c r="AG17" s="251">
        <f>VLOOKUP(1,$T23:$AA29,6,FALSE)</f>
        <v>2</v>
      </c>
      <c r="AH17" s="251">
        <f>VLOOKUP(1,$T23:$AA29,7,FALSE)</f>
        <v>1157</v>
      </c>
      <c r="AI17" s="252">
        <f>VLOOKUP(1,$T23:$AA29,8,FALSE)</f>
        <v>8001157</v>
      </c>
      <c r="AJ17" s="363" t="str">
        <f t="shared" si="20"/>
        <v>村上 泰辰(ORC)　8勝2敗</v>
      </c>
    </row>
    <row r="18" spans="1:36" ht="14.25" customHeight="1">
      <c r="A18" s="493"/>
      <c r="B18" s="406" t="str">
        <f>IF('登録'!AG15=0,"",'登録'!AG15)</f>
        <v>丹羽 俊也</v>
      </c>
      <c r="C18" s="33">
        <f>'登録'!R18</f>
        <v>120</v>
      </c>
      <c r="D18" s="171">
        <f>IF('結果入力表'!F13="","",'結果入力表'!F13)</f>
        <v>84</v>
      </c>
      <c r="E18" s="172">
        <f>IF('結果入力表'!F27="","",'結果入力表'!F27)</f>
        <v>14</v>
      </c>
      <c r="F18" s="172" t="str">
        <f>IF('結果入力表'!G48="","",'結果入力表'!G48)</f>
        <v>w</v>
      </c>
      <c r="G18" s="172">
        <f>IF('結果入力表'!G76="","",'結果入力表'!G76)</f>
        <v>52</v>
      </c>
      <c r="H18" s="176" t="str">
        <f>IF('結果入力表'!G104="","",'結果入力表'!G104)</f>
        <v>w</v>
      </c>
      <c r="I18" s="179" t="str">
        <f>IF('結果入力表'!F117="","",'結果入力表'!F117)</f>
        <v>w</v>
      </c>
      <c r="J18" s="172">
        <f>IF('結果入力表'!F131="","",'結果入力表'!F131)</f>
        <v>16</v>
      </c>
      <c r="K18" s="172">
        <f>IF('結果入力表'!G152="","",'結果入力表'!G152)</f>
        <v>110</v>
      </c>
      <c r="L18" s="172" t="str">
        <f>IF('結果入力表'!G180="","",'結果入力表'!G180)</f>
        <v>w</v>
      </c>
      <c r="M18" s="176">
        <f>IF('結果入力表'!G208="","",'結果入力表'!G208)</f>
        <v>0</v>
      </c>
      <c r="N18" s="399">
        <f t="shared" si="15"/>
        <v>4</v>
      </c>
      <c r="O18" s="10">
        <f t="shared" si="16"/>
        <v>6</v>
      </c>
      <c r="P18" s="86">
        <f t="shared" si="17"/>
        <v>756</v>
      </c>
      <c r="Q18" s="86">
        <f>IF(N18="","",IF(C18='登録'!$I$8,P18,N18*'登録'!$I$8+SUM(D18:M18)/'★個人成績表★'!C18*'登録'!$I$8))</f>
        <v>756</v>
      </c>
      <c r="R18" s="390">
        <f t="shared" si="10"/>
      </c>
      <c r="S18" s="398">
        <f t="shared" si="11"/>
        <v>756</v>
      </c>
      <c r="T18" s="27">
        <f>IF(COUNTBLANK(D18:M18)=10,"",RANK(AA18,$AA14:$AA20))</f>
        <v>3</v>
      </c>
      <c r="U18" s="385">
        <f>IF('★対戦リーグ表★'!BS19=0,"",'★対戦リーグ表★'!BS19)</f>
      </c>
      <c r="V18" s="142"/>
      <c r="W18" s="218" t="str">
        <f t="shared" si="12"/>
        <v>丹羽 俊也</v>
      </c>
      <c r="X18" s="219">
        <f t="shared" si="13"/>
        <v>4</v>
      </c>
      <c r="Y18" s="220">
        <f t="shared" si="13"/>
        <v>6</v>
      </c>
      <c r="Z18" s="221">
        <f t="shared" si="14"/>
        <v>756</v>
      </c>
      <c r="AA18" s="222">
        <f t="shared" si="18"/>
        <v>4000756</v>
      </c>
      <c r="AB18" s="142"/>
      <c r="AC18" s="250">
        <f t="shared" si="19"/>
        <v>4</v>
      </c>
      <c r="AD18" s="251" t="str">
        <f>A31</f>
        <v>NRC</v>
      </c>
      <c r="AE18" s="251" t="str">
        <f>VLOOKUP(1,$T32:$AA38,4,FALSE)</f>
        <v>白戸 玲人</v>
      </c>
      <c r="AF18" s="251">
        <f>VLOOKUP(1,$T32:$AA38,5,FALSE)</f>
        <v>7</v>
      </c>
      <c r="AG18" s="251">
        <f>VLOOKUP(1,$T32:$AA38,6,FALSE)</f>
        <v>3</v>
      </c>
      <c r="AH18" s="251">
        <f>VLOOKUP(1,$T32:$AA38,7,FALSE)</f>
        <v>1053</v>
      </c>
      <c r="AI18" s="252">
        <f>VLOOKUP(1,$T32:$AA38,8,FALSE)</f>
        <v>7001053</v>
      </c>
      <c r="AJ18" s="363" t="str">
        <f t="shared" si="20"/>
        <v>白戸 玲人(NRC)　7勝3敗</v>
      </c>
    </row>
    <row r="19" spans="1:36" ht="14.25" customHeight="1">
      <c r="A19" s="493"/>
      <c r="B19" s="406" t="str">
        <f>IF('登録'!AG16=0,"",'登録'!AG16)</f>
        <v>平井 洸志</v>
      </c>
      <c r="C19" s="33">
        <f>'登録'!U18</f>
        <v>120</v>
      </c>
      <c r="D19" s="171" t="str">
        <f>IF('結果入力表'!F14="","",'結果入力表'!F14)</f>
        <v>w</v>
      </c>
      <c r="E19" s="172">
        <f>IF('結果入力表'!F28="","",'結果入力表'!F28)</f>
        <v>49</v>
      </c>
      <c r="F19" s="172">
        <f>IF('結果入力表'!G49="","",'結果入力表'!G49)</f>
        <v>32</v>
      </c>
      <c r="G19" s="172" t="str">
        <f>IF('結果入力表'!G77="","",'結果入力表'!G77)</f>
        <v>w</v>
      </c>
      <c r="H19" s="176">
        <f>IF('結果入力表'!G105="","",'結果入力表'!G105)</f>
        <v>119</v>
      </c>
      <c r="I19" s="179">
        <f>IF('結果入力表'!F118="","",'結果入力表'!F118)</f>
        <v>107</v>
      </c>
      <c r="J19" s="172">
        <f>IF('結果入力表'!F132="","",'結果入力表'!F132)</f>
        <v>69</v>
      </c>
      <c r="K19" s="172">
        <f>IF('結果入力表'!G153="","",'結果入力表'!G153)</f>
        <v>86</v>
      </c>
      <c r="L19" s="172" t="str">
        <f>IF('結果入力表'!G181="","",'結果入力表'!G181)</f>
        <v>w</v>
      </c>
      <c r="M19" s="176">
        <f>IF('結果入力表'!G209="","",'結果入力表'!G209)</f>
        <v>30</v>
      </c>
      <c r="N19" s="399">
        <f t="shared" si="15"/>
        <v>3</v>
      </c>
      <c r="O19" s="10">
        <f t="shared" si="16"/>
        <v>7</v>
      </c>
      <c r="P19" s="86">
        <f t="shared" si="17"/>
        <v>852</v>
      </c>
      <c r="Q19" s="86">
        <f>IF(N19="","",IF(C19='登録'!$I$8,P19,N19*'登録'!$I$8+SUM(D19:M19)/'★個人成績表★'!C19*'登録'!$I$8))</f>
        <v>852</v>
      </c>
      <c r="R19" s="390">
        <f t="shared" si="10"/>
      </c>
      <c r="S19" s="398">
        <f t="shared" si="11"/>
        <v>852</v>
      </c>
      <c r="T19" s="29">
        <f>IF(COUNTBLANK(D19:M19)=10,"",RANK(AA19,$AA14:$AA20))</f>
        <v>4</v>
      </c>
      <c r="U19" s="385">
        <f>IF('★対戦リーグ表★'!BS20=0,"",'★対戦リーグ表★'!BS20)</f>
      </c>
      <c r="V19" s="142"/>
      <c r="W19" s="218" t="str">
        <f t="shared" si="12"/>
        <v>平井 洸志</v>
      </c>
      <c r="X19" s="219">
        <f t="shared" si="13"/>
        <v>3</v>
      </c>
      <c r="Y19" s="220">
        <f t="shared" si="13"/>
        <v>7</v>
      </c>
      <c r="Z19" s="221">
        <f t="shared" si="14"/>
        <v>852</v>
      </c>
      <c r="AA19" s="222">
        <f t="shared" si="18"/>
        <v>3000852</v>
      </c>
      <c r="AB19" s="142"/>
      <c r="AC19" s="250">
        <f t="shared" si="19"/>
        <v>3</v>
      </c>
      <c r="AD19" s="251" t="str">
        <f>A40</f>
        <v>SBC</v>
      </c>
      <c r="AE19" s="251" t="str">
        <f>VLOOKUP(1,$T41:$AA47,4,FALSE)</f>
        <v>山中 康寛</v>
      </c>
      <c r="AF19" s="251">
        <f>VLOOKUP(1,$T41:$AA47,5,FALSE)</f>
        <v>8</v>
      </c>
      <c r="AG19" s="251">
        <f>VLOOKUP(1,$T41:$AA47,6,FALSE)</f>
        <v>2</v>
      </c>
      <c r="AH19" s="251">
        <f>VLOOKUP(1,$T41:$AA47,7,FALSE)</f>
        <v>1016</v>
      </c>
      <c r="AI19" s="252">
        <f>VLOOKUP(1,$T41:$AA47,8,FALSE)</f>
        <v>8001016</v>
      </c>
      <c r="AJ19" s="363" t="str">
        <f t="shared" si="20"/>
        <v>山中 康寛(SBC)　8勝2敗</v>
      </c>
    </row>
    <row r="20" spans="1:36" ht="14.25" customHeight="1" thickBot="1">
      <c r="A20" s="493"/>
      <c r="B20" s="407" t="str">
        <f>IF('登録'!AG17=0,"",'登録'!AG17)</f>
        <v>栃下 恭子</v>
      </c>
      <c r="C20" s="193">
        <f>'登録'!X18</f>
        <v>100</v>
      </c>
      <c r="D20" s="194">
        <f>IF('結果入力表'!F15="","",'結果入力表'!F15)</f>
        <v>5</v>
      </c>
      <c r="E20" s="195">
        <f>IF('結果入力表'!F29="","",'結果入力表'!F29)</f>
        <v>66</v>
      </c>
      <c r="F20" s="195">
        <f>IF('結果入力表'!G50="","",'結果入力表'!G50)</f>
        <v>32</v>
      </c>
      <c r="G20" s="195">
        <f>IF('結果入力表'!G78="","",'結果入力表'!G78)</f>
        <v>24</v>
      </c>
      <c r="H20" s="196">
        <f>IF('結果入力表'!G106="","",'結果入力表'!G106)</f>
        <v>18</v>
      </c>
      <c r="I20" s="197">
        <f>IF('結果入力表'!F119="","",'結果入力表'!F119)</f>
        <v>78</v>
      </c>
      <c r="J20" s="195">
        <f>IF('結果入力表'!F133="","",'結果入力表'!F133)</f>
        <v>64</v>
      </c>
      <c r="K20" s="195" t="str">
        <f>IF('結果入力表'!G154="","",'結果入力表'!G154)</f>
        <v>w</v>
      </c>
      <c r="L20" s="195" t="str">
        <f>IF('結果入力表'!G182="","",'結果入力表'!G182)</f>
        <v>w</v>
      </c>
      <c r="M20" s="196">
        <f>IF('結果入力表'!G210="","",'結果入力表'!G210)</f>
        <v>66</v>
      </c>
      <c r="N20" s="400">
        <f t="shared" si="15"/>
        <v>2</v>
      </c>
      <c r="O20" s="198">
        <f t="shared" si="16"/>
        <v>8</v>
      </c>
      <c r="P20" s="199">
        <f t="shared" si="17"/>
        <v>553</v>
      </c>
      <c r="Q20" s="199">
        <f>IF(N20="","",IF(C20='登録'!$I$8,P20,N20*'登録'!$I$8+SUM(D20:M20)/'★個人成績表★'!C20*'登録'!$I$8))</f>
        <v>663.5999999999999</v>
      </c>
      <c r="R20" s="391" t="str">
        <f t="shared" si="10"/>
        <v>*</v>
      </c>
      <c r="S20" s="401">
        <f t="shared" si="11"/>
        <v>663.5999999999999</v>
      </c>
      <c r="T20" s="192">
        <f>IF(COUNTBLANK(D20:M20)=10,"",RANK(AA20,$AA14:$AA20))</f>
        <v>6</v>
      </c>
      <c r="U20" s="386">
        <f>IF('★対戦リーグ表★'!BS21=0,"",'★対戦リーグ表★'!BS21)</f>
      </c>
      <c r="V20" s="142"/>
      <c r="W20" s="237" t="str">
        <f t="shared" si="12"/>
        <v>栃下 恭子</v>
      </c>
      <c r="X20" s="238">
        <f t="shared" si="13"/>
        <v>2</v>
      </c>
      <c r="Y20" s="239">
        <f t="shared" si="13"/>
        <v>8</v>
      </c>
      <c r="Z20" s="240">
        <f t="shared" si="14"/>
        <v>663.5999999999999</v>
      </c>
      <c r="AA20" s="241">
        <f t="shared" si="18"/>
        <v>2000663.6</v>
      </c>
      <c r="AB20" s="142"/>
      <c r="AC20" s="253">
        <f t="shared" si="19"/>
        <v>5</v>
      </c>
      <c r="AD20" s="254" t="str">
        <f>A49</f>
        <v>WRC</v>
      </c>
      <c r="AE20" s="254" t="str">
        <f>VLOOKUP(1,$T50:$AA56,4,FALSE)</f>
        <v>杉本 博章</v>
      </c>
      <c r="AF20" s="254">
        <f>IF(AD20="","",VLOOKUP(1,$T50:$AA56,5,FALSE))</f>
        <v>7</v>
      </c>
      <c r="AG20" s="254">
        <f>IF(AD20="","",VLOOKUP(1,$T50:$AA56,6,FALSE))</f>
        <v>3</v>
      </c>
      <c r="AH20" s="254">
        <f>IF(AD20="","",VLOOKUP(1,$T50:$AA56,7,FALSE))</f>
        <v>1024</v>
      </c>
      <c r="AI20" s="255">
        <f>IF(AD20="","",VLOOKUP(1,$T50:$AA56,8,FALSE))</f>
        <v>7001024</v>
      </c>
      <c r="AJ20" s="363" t="str">
        <f t="shared" si="20"/>
        <v>杉本 博章(WRC)　7勝3敗</v>
      </c>
    </row>
    <row r="21" spans="1:29" ht="14.25" customHeight="1" thickBot="1" thickTop="1">
      <c r="A21" s="494"/>
      <c r="B21" s="211" t="s">
        <v>84</v>
      </c>
      <c r="C21" s="34"/>
      <c r="D21" s="173"/>
      <c r="E21" s="174"/>
      <c r="F21" s="174"/>
      <c r="G21" s="174"/>
      <c r="H21" s="177"/>
      <c r="I21" s="180"/>
      <c r="J21" s="174"/>
      <c r="K21" s="174"/>
      <c r="L21" s="174"/>
      <c r="M21" s="177"/>
      <c r="N21" s="402">
        <f>IF(COUNTBLANK(N14:N20)=7,"",SUM(N14:N20))</f>
        <v>24</v>
      </c>
      <c r="O21" s="11">
        <f>IF(COUNTBLANK(O14:O20)=7,"",SUM(O14:O20))</f>
        <v>46</v>
      </c>
      <c r="P21" s="87">
        <f>IF(COUNTBLANK(P14:P20)=7,"",SUM(P14:P20))</f>
        <v>5035</v>
      </c>
      <c r="Q21" s="87">
        <f>IF(COUNTBLANK(Q14:Q20)=7,"",SUM(Q14:Q20))</f>
        <v>5145.6</v>
      </c>
      <c r="R21" s="392" t="str">
        <f t="shared" si="10"/>
        <v>*</v>
      </c>
      <c r="S21" s="403">
        <f>IF(COUNTBLANK(S14:S20)=7,"",IF(Q21=P21,P21,Q21))</f>
        <v>5145.6</v>
      </c>
      <c r="T21" s="12"/>
      <c r="U21" s="387"/>
      <c r="V21" s="142"/>
      <c r="W21" s="227"/>
      <c r="X21" s="228">
        <f t="shared" si="13"/>
        <v>24</v>
      </c>
      <c r="Y21" s="229">
        <f t="shared" si="13"/>
        <v>46</v>
      </c>
      <c r="Z21" s="230">
        <f t="shared" si="14"/>
        <v>5145.6</v>
      </c>
      <c r="AA21" s="231">
        <f t="shared" si="18"/>
        <v>24005145.6</v>
      </c>
      <c r="AB21" s="142"/>
      <c r="AC21" s="273" t="s">
        <v>87</v>
      </c>
    </row>
    <row r="22" spans="1:35" ht="14.25" customHeight="1" thickBot="1">
      <c r="A22" s="492" t="str">
        <f>IF('登録'!B19="","",'登録'!B19)</f>
        <v>ORC</v>
      </c>
      <c r="B22" s="210" t="str">
        <f>B4</f>
        <v>Player＼VS</v>
      </c>
      <c r="C22" s="31" t="str">
        <f>C4</f>
        <v>持点</v>
      </c>
      <c r="D22" s="212" t="str">
        <f>'登録'!BI5</f>
        <v>NRC</v>
      </c>
      <c r="E22" s="213" t="str">
        <f>'登録'!BJ5</f>
        <v>HRC</v>
      </c>
      <c r="F22" s="213" t="str">
        <f>'登録'!BK5</f>
        <v>SBC</v>
      </c>
      <c r="G22" s="213" t="str">
        <f>'登録'!BL5</f>
        <v>KRC</v>
      </c>
      <c r="H22" s="214" t="str">
        <f>'登録'!BM5</f>
        <v>WRC</v>
      </c>
      <c r="I22" s="215" t="str">
        <f>D22</f>
        <v>NRC</v>
      </c>
      <c r="J22" s="213" t="str">
        <f>E22</f>
        <v>HRC</v>
      </c>
      <c r="K22" s="213" t="str">
        <f>F22</f>
        <v>SBC</v>
      </c>
      <c r="L22" s="213" t="str">
        <f>G22</f>
        <v>KRC</v>
      </c>
      <c r="M22" s="214" t="str">
        <f>H22</f>
        <v>WRC</v>
      </c>
      <c r="N22" s="394" t="s">
        <v>79</v>
      </c>
      <c r="O22" s="207" t="s">
        <v>80</v>
      </c>
      <c r="P22" s="208" t="s">
        <v>81</v>
      </c>
      <c r="Q22" s="208" t="s">
        <v>82</v>
      </c>
      <c r="R22" s="393" t="s">
        <v>28</v>
      </c>
      <c r="S22" s="404"/>
      <c r="T22" s="209" t="s">
        <v>78</v>
      </c>
      <c r="U22" s="383" t="s">
        <v>87</v>
      </c>
      <c r="V22" s="142"/>
      <c r="W22" s="223" t="s">
        <v>89</v>
      </c>
      <c r="X22" s="224" t="s">
        <v>16</v>
      </c>
      <c r="Y22" s="225" t="s">
        <v>17</v>
      </c>
      <c r="Z22" s="225" t="s">
        <v>18</v>
      </c>
      <c r="AA22" s="226" t="s">
        <v>27</v>
      </c>
      <c r="AB22" s="142"/>
      <c r="AC22" s="264"/>
      <c r="AD22" s="249"/>
      <c r="AE22" s="249"/>
      <c r="AF22" s="265"/>
      <c r="AG22" s="265"/>
      <c r="AH22" s="265"/>
      <c r="AI22" s="266"/>
    </row>
    <row r="23" spans="1:35" ht="14.25" customHeight="1" thickTop="1">
      <c r="A23" s="493"/>
      <c r="B23" s="405" t="str">
        <f>IF('登録'!AG20=0,"",'登録'!AG20)</f>
        <v>村上 泰辰</v>
      </c>
      <c r="C23" s="32">
        <f>'登録'!F19</f>
        <v>120</v>
      </c>
      <c r="D23" s="169" t="str">
        <f>IF('結果入力表'!F2="","",'結果入力表'!F2)</f>
        <v>w</v>
      </c>
      <c r="E23" s="170" t="str">
        <f>IF('結果入力表'!G23="","",'結果入力表'!G23)</f>
        <v>w</v>
      </c>
      <c r="F23" s="170">
        <f>IF('結果入力表'!G51="","",'結果入力表'!G51)</f>
        <v>81</v>
      </c>
      <c r="G23" s="170" t="str">
        <f>IF('結果入力表'!G79="","",'結果入力表'!G79)</f>
        <v>w</v>
      </c>
      <c r="H23" s="175" t="str">
        <f>IF('結果入力表'!F93="","",'結果入力表'!F93)</f>
        <v>w</v>
      </c>
      <c r="I23" s="439" t="str">
        <f>IF('結果入力表'!F112="","",'結果入力表'!F112)</f>
        <v>w</v>
      </c>
      <c r="J23" s="373" t="str">
        <f>IF('結果入力表'!G133="","",'結果入力表'!G133)</f>
        <v>w</v>
      </c>
      <c r="K23" s="373">
        <f>IF('結果入力表'!G161="","",'結果入力表'!G161)</f>
        <v>116</v>
      </c>
      <c r="L23" s="373" t="str">
        <f>IF('結果入力表'!G189="","",'結果入力表'!G189)</f>
        <v>w</v>
      </c>
      <c r="M23" s="440" t="str">
        <f>IF('結果入力表'!F203="","",'結果入力表'!F203)</f>
        <v>w</v>
      </c>
      <c r="N23" s="395">
        <f>IF(COUNTBLANK(D23:M23)=10,"",COUNTIF(D23:M23,"w"))</f>
        <v>8</v>
      </c>
      <c r="O23" s="8">
        <f>IF(COUNTBLANK(D23:M23)=10,"",10-COUNTBLANK(D23:M23)-N23)</f>
        <v>2</v>
      </c>
      <c r="P23" s="89">
        <f>IF(N23="","",N23*C23+SUM(D23:M23))</f>
        <v>1157</v>
      </c>
      <c r="Q23" s="89">
        <f>IF(N23="","",IF(C23='登録'!$I$8,P23,N23*'登録'!$I$8+SUM(D23:M23)/'★個人成績表★'!C23*'登録'!$I$8))</f>
        <v>1157</v>
      </c>
      <c r="R23" s="389">
        <f aca="true" t="shared" si="21" ref="R23:R30">IF(P23=Q23,"","*")</f>
      </c>
      <c r="S23" s="396">
        <f aca="true" t="shared" si="22" ref="S23:S29">IF(COUNTBLANK(D23:M23)=10,"",Q23)</f>
        <v>1157</v>
      </c>
      <c r="T23" s="28">
        <f>IF(COUNTBLANK(D23:M23)=10,"",RANK(AA23,$AA23:$AA29))</f>
        <v>1</v>
      </c>
      <c r="U23" s="384">
        <f>IF('★対戦リーグ表★'!BS24=0,"",'★対戦リーグ表★'!BS24)</f>
      </c>
      <c r="V23" s="142"/>
      <c r="W23" s="232" t="str">
        <f>B23</f>
        <v>村上 泰辰</v>
      </c>
      <c r="X23" s="233">
        <f aca="true" t="shared" si="23" ref="X23:Y30">N23</f>
        <v>8</v>
      </c>
      <c r="Y23" s="234">
        <f t="shared" si="23"/>
        <v>2</v>
      </c>
      <c r="Z23" s="235">
        <f aca="true" t="shared" si="24" ref="Z23:Z30">Q23</f>
        <v>1157</v>
      </c>
      <c r="AA23" s="236">
        <f aca="true" t="shared" si="25" ref="AA23:AA30">X23*1000000+Z23</f>
        <v>8001157</v>
      </c>
      <c r="AB23" s="142"/>
      <c r="AC23" s="267"/>
      <c r="AD23" s="251"/>
      <c r="AE23" s="251"/>
      <c r="AF23" s="268"/>
      <c r="AG23" s="268"/>
      <c r="AH23" s="268"/>
      <c r="AI23" s="269"/>
    </row>
    <row r="24" spans="1:35" ht="14.25" customHeight="1">
      <c r="A24" s="493"/>
      <c r="B24" s="406" t="str">
        <f>IF('登録'!AG21=0,"",'登録'!AG21)</f>
        <v>乾　伸綱</v>
      </c>
      <c r="C24" s="33">
        <f>'登録'!I19</f>
        <v>120</v>
      </c>
      <c r="D24" s="171" t="str">
        <f>IF('結果入力表'!F3="","",'結果入力表'!F3)</f>
        <v>w</v>
      </c>
      <c r="E24" s="172" t="str">
        <f>IF('結果入力表'!G24="","",'結果入力表'!G24)</f>
        <v>w</v>
      </c>
      <c r="F24" s="172" t="str">
        <f>IF('結果入力表'!G52="","",'結果入力表'!G52)</f>
        <v>w</v>
      </c>
      <c r="G24" s="172" t="str">
        <f>IF('結果入力表'!G80="","",'結果入力表'!G80)</f>
        <v>w</v>
      </c>
      <c r="H24" s="176">
        <f>IF('結果入力表'!F94="","",'結果入力表'!F94)</f>
        <v>65</v>
      </c>
      <c r="I24" s="442" t="str">
        <f>IF('結果入力表'!F113="","",'結果入力表'!F113)</f>
        <v>w</v>
      </c>
      <c r="J24" s="374">
        <f>IF('結果入力表'!G134="","",'結果入力表'!G134)</f>
        <v>25</v>
      </c>
      <c r="K24" s="374">
        <f>IF('結果入力表'!G162="","",'結果入力表'!G162)</f>
        <v>45</v>
      </c>
      <c r="L24" s="374" t="str">
        <f>IF('結果入力表'!G190="","",'結果入力表'!G190)</f>
        <v>w</v>
      </c>
      <c r="M24" s="443">
        <f>IF('結果入力表'!F204="","",'結果入力表'!F204)</f>
        <v>9</v>
      </c>
      <c r="N24" s="397">
        <f aca="true" t="shared" si="26" ref="N24:N29">IF(COUNTBLANK(D24:M24)=10,"",COUNTIF(D24:M24,"w"))</f>
        <v>6</v>
      </c>
      <c r="O24" s="9">
        <f aca="true" t="shared" si="27" ref="O24:O29">IF(COUNTBLANK(D24:M24)=10,"",10-COUNTBLANK(D24:M24)-N24)</f>
        <v>4</v>
      </c>
      <c r="P24" s="86">
        <f aca="true" t="shared" si="28" ref="P24:P29">IF(N24="","",N24*C24+SUM(D24:M24))</f>
        <v>864</v>
      </c>
      <c r="Q24" s="86">
        <f>IF(N24="","",IF(C24='登録'!$I$8,P24,N24*'登録'!$I$8+SUM(D24:M24)/'★個人成績表★'!C24*'登録'!$I$8))</f>
        <v>864</v>
      </c>
      <c r="R24" s="390">
        <f t="shared" si="21"/>
      </c>
      <c r="S24" s="398">
        <f t="shared" si="22"/>
        <v>864</v>
      </c>
      <c r="T24" s="29">
        <f>IF(COUNTBLANK(D24:M24)=10,"",RANK(AA24,$AA23:$AA29))</f>
        <v>7</v>
      </c>
      <c r="U24" s="385">
        <f>IF('★対戦リーグ表★'!BS25=0,"",'★対戦リーグ表★'!BS25)</f>
        <v>118</v>
      </c>
      <c r="V24" s="142"/>
      <c r="W24" s="218" t="str">
        <f t="shared" si="12"/>
        <v>乾　伸綱</v>
      </c>
      <c r="X24" s="219">
        <f t="shared" si="23"/>
        <v>6</v>
      </c>
      <c r="Y24" s="220">
        <f t="shared" si="23"/>
        <v>4</v>
      </c>
      <c r="Z24" s="221">
        <f t="shared" si="24"/>
        <v>864</v>
      </c>
      <c r="AA24" s="222">
        <f t="shared" si="25"/>
        <v>6000864</v>
      </c>
      <c r="AB24" s="142"/>
      <c r="AC24" s="267"/>
      <c r="AD24" s="251"/>
      <c r="AE24" s="251"/>
      <c r="AF24" s="268"/>
      <c r="AG24" s="268"/>
      <c r="AH24" s="268"/>
      <c r="AI24" s="269"/>
    </row>
    <row r="25" spans="1:35" ht="14.25" customHeight="1">
      <c r="A25" s="493"/>
      <c r="B25" s="406" t="str">
        <f>IF('登録'!AG22=0,"",'登録'!AG22)</f>
        <v>吉岡 保俊</v>
      </c>
      <c r="C25" s="33">
        <f>'登録'!L19</f>
        <v>120</v>
      </c>
      <c r="D25" s="171" t="str">
        <f>IF('結果入力表'!F4="","",'結果入力表'!F4)</f>
        <v>w</v>
      </c>
      <c r="E25" s="172" t="str">
        <f>IF('結果入力表'!G25="","",'結果入力表'!G25)</f>
        <v>w</v>
      </c>
      <c r="F25" s="172" t="str">
        <f>IF('結果入力表'!G53="","",'結果入力表'!G53)</f>
        <v>w</v>
      </c>
      <c r="G25" s="172">
        <f>IF('結果入力表'!G81="","",'結果入力表'!G81)</f>
        <v>71</v>
      </c>
      <c r="H25" s="176" t="str">
        <f>IF('結果入力表'!F95="","",'結果入力表'!F95)</f>
        <v>w</v>
      </c>
      <c r="I25" s="179" t="str">
        <f>IF('結果入力表'!F107="","",'結果入力表'!F107)</f>
        <v>w</v>
      </c>
      <c r="J25" s="172" t="str">
        <f>IF('結果入力表'!G128="","",'結果入力表'!G128)</f>
        <v>w</v>
      </c>
      <c r="K25" s="172">
        <f>IF('結果入力表'!G156="","",'結果入力表'!G156)</f>
        <v>56</v>
      </c>
      <c r="L25" s="172">
        <f>IF('結果入力表'!G184="","",'結果入力表'!G184)</f>
        <v>0</v>
      </c>
      <c r="M25" s="176" t="str">
        <f>IF('結果入力表'!F198="","",'結果入力表'!F198)</f>
        <v>w</v>
      </c>
      <c r="N25" s="399">
        <f t="shared" si="26"/>
        <v>7</v>
      </c>
      <c r="O25" s="10">
        <f t="shared" si="27"/>
        <v>3</v>
      </c>
      <c r="P25" s="86">
        <f t="shared" si="28"/>
        <v>967</v>
      </c>
      <c r="Q25" s="86">
        <f>IF(N25="","",IF(C25='登録'!$I$8,P25,N25*'登録'!$I$8+SUM(D25:M25)/'★個人成績表★'!C25*'登録'!$I$8))</f>
        <v>967</v>
      </c>
      <c r="R25" s="390">
        <f t="shared" si="21"/>
      </c>
      <c r="S25" s="398">
        <f t="shared" si="22"/>
        <v>967</v>
      </c>
      <c r="T25" s="27">
        <f>IF(COUNTBLANK(D25:M25)=10,"",RANK(AA25,$AA23:$AA29))</f>
        <v>2</v>
      </c>
      <c r="U25" s="385">
        <f>IF('★対戦リーグ表★'!BS26=0,"",'★対戦リーグ表★'!BS26)</f>
        <v>118</v>
      </c>
      <c r="V25" s="142"/>
      <c r="W25" s="218" t="str">
        <f t="shared" si="12"/>
        <v>吉岡 保俊</v>
      </c>
      <c r="X25" s="219">
        <f t="shared" si="23"/>
        <v>7</v>
      </c>
      <c r="Y25" s="220">
        <f t="shared" si="23"/>
        <v>3</v>
      </c>
      <c r="Z25" s="221">
        <f t="shared" si="24"/>
        <v>967</v>
      </c>
      <c r="AA25" s="222">
        <f t="shared" si="25"/>
        <v>7000967</v>
      </c>
      <c r="AB25" s="142"/>
      <c r="AC25" s="267"/>
      <c r="AD25" s="251"/>
      <c r="AE25" s="251"/>
      <c r="AF25" s="268"/>
      <c r="AG25" s="268"/>
      <c r="AH25" s="268"/>
      <c r="AI25" s="269"/>
    </row>
    <row r="26" spans="1:35" ht="14.25" customHeight="1">
      <c r="A26" s="493"/>
      <c r="B26" s="406" t="str">
        <f>IF('登録'!AG23=0,"",'登録'!AG23)</f>
        <v>山田 玄英</v>
      </c>
      <c r="C26" s="33">
        <f>'登録'!O19</f>
        <v>120</v>
      </c>
      <c r="D26" s="171" t="str">
        <f>IF('結果入力表'!F5="","",'結果入力表'!F5)</f>
        <v>w</v>
      </c>
      <c r="E26" s="172" t="str">
        <f>IF('結果入力表'!G26="","",'結果入力表'!G26)</f>
        <v>w</v>
      </c>
      <c r="F26" s="172" t="str">
        <f>IF('結果入力表'!G54="","",'結果入力表'!G54)</f>
        <v>w</v>
      </c>
      <c r="G26" s="172" t="str">
        <f>IF('結果入力表'!G82="","",'結果入力表'!G82)</f>
        <v>w</v>
      </c>
      <c r="H26" s="176" t="str">
        <f>IF('結果入力表'!F96="","",'結果入力表'!F96)</f>
        <v>w</v>
      </c>
      <c r="I26" s="179" t="str">
        <f>IF('結果入力表'!F108="","",'結果入力表'!F108)</f>
        <v>w</v>
      </c>
      <c r="J26" s="172">
        <f>IF('結果入力表'!G129="","",'結果入力表'!G129)</f>
        <v>12</v>
      </c>
      <c r="K26" s="172" t="str">
        <f>IF('結果入力表'!G157="","",'結果入力表'!G157)</f>
        <v>w</v>
      </c>
      <c r="L26" s="172">
        <f>IF('結果入力表'!G185="","",'結果入力表'!G185)</f>
        <v>0</v>
      </c>
      <c r="M26" s="176">
        <f>IF('結果入力表'!F199="","",'結果入力表'!F199)</f>
        <v>52</v>
      </c>
      <c r="N26" s="399">
        <f t="shared" si="26"/>
        <v>7</v>
      </c>
      <c r="O26" s="10">
        <f t="shared" si="27"/>
        <v>3</v>
      </c>
      <c r="P26" s="86">
        <f t="shared" si="28"/>
        <v>904</v>
      </c>
      <c r="Q26" s="86">
        <f>IF(N26="","",IF(C26='登録'!$I$8,P26,N26*'登録'!$I$8+SUM(D26:M26)/'★個人成績表★'!C26*'登録'!$I$8))</f>
        <v>904</v>
      </c>
      <c r="R26" s="390">
        <f t="shared" si="21"/>
      </c>
      <c r="S26" s="398">
        <f t="shared" si="22"/>
        <v>904</v>
      </c>
      <c r="T26" s="29">
        <f>IF(COUNTBLANK(D26:M26)=10,"",RANK(AA26,$AA23:$AA29))</f>
        <v>4</v>
      </c>
      <c r="U26" s="385">
        <f>IF('★対戦リーグ表★'!BS27=0,"",'★対戦リーグ表★'!BS27)</f>
      </c>
      <c r="V26" s="142"/>
      <c r="W26" s="218" t="str">
        <f t="shared" si="12"/>
        <v>山田 玄英</v>
      </c>
      <c r="X26" s="219">
        <f t="shared" si="23"/>
        <v>7</v>
      </c>
      <c r="Y26" s="220">
        <f t="shared" si="23"/>
        <v>3</v>
      </c>
      <c r="Z26" s="221">
        <f t="shared" si="24"/>
        <v>904</v>
      </c>
      <c r="AA26" s="222">
        <f t="shared" si="25"/>
        <v>7000904</v>
      </c>
      <c r="AB26" s="142"/>
      <c r="AC26" s="267"/>
      <c r="AD26" s="251"/>
      <c r="AE26" s="251"/>
      <c r="AF26" s="268"/>
      <c r="AG26" s="268"/>
      <c r="AH26" s="268"/>
      <c r="AI26" s="269"/>
    </row>
    <row r="27" spans="1:35" ht="14.25" customHeight="1">
      <c r="A27" s="493"/>
      <c r="B27" s="406" t="str">
        <f>IF('登録'!AG24=0,"",'登録'!AG24)</f>
        <v>由本　拓</v>
      </c>
      <c r="C27" s="33">
        <f>'登録'!R19</f>
        <v>120</v>
      </c>
      <c r="D27" s="171">
        <f>IF('結果入力表'!F6="","",'結果入力表'!F6)</f>
        <v>8</v>
      </c>
      <c r="E27" s="172" t="str">
        <f>IF('結果入力表'!G27="","",'結果入力表'!G27)</f>
        <v>w</v>
      </c>
      <c r="F27" s="172" t="str">
        <f>IF('結果入力表'!G55="","",'結果入力表'!G55)</f>
        <v>w</v>
      </c>
      <c r="G27" s="172" t="str">
        <f>IF('結果入力表'!G83="","",'結果入力表'!G83)</f>
        <v>w</v>
      </c>
      <c r="H27" s="176" t="str">
        <f>IF('結果入力表'!F97="","",'結果入力表'!F97)</f>
        <v>w</v>
      </c>
      <c r="I27" s="179" t="str">
        <f>IF('結果入力表'!F109="","",'結果入力表'!F109)</f>
        <v>w</v>
      </c>
      <c r="J27" s="172" t="str">
        <f>IF('結果入力表'!G130="","",'結果入力表'!G130)</f>
        <v>w</v>
      </c>
      <c r="K27" s="172">
        <f>IF('結果入力表'!G158="","",'結果入力表'!G158)</f>
        <v>75</v>
      </c>
      <c r="L27" s="172">
        <f>IF('結果入力表'!G186="","",'結果入力表'!G186)</f>
        <v>80</v>
      </c>
      <c r="M27" s="176">
        <f>IF('結果入力表'!F200="","",'結果入力表'!F200)</f>
        <v>49</v>
      </c>
      <c r="N27" s="399">
        <f t="shared" si="26"/>
        <v>6</v>
      </c>
      <c r="O27" s="10">
        <f t="shared" si="27"/>
        <v>4</v>
      </c>
      <c r="P27" s="86">
        <f t="shared" si="28"/>
        <v>932</v>
      </c>
      <c r="Q27" s="86">
        <f>IF(N27="","",IF(C27='登録'!$I$8,P27,N27*'登録'!$I$8+SUM(D27:M27)/'★個人成績表★'!C27*'登録'!$I$8))</f>
        <v>932</v>
      </c>
      <c r="R27" s="390">
        <f t="shared" si="21"/>
      </c>
      <c r="S27" s="398">
        <f t="shared" si="22"/>
        <v>932</v>
      </c>
      <c r="T27" s="27">
        <f>IF(COUNTBLANK(D27:M27)=10,"",RANK(AA27,$AA23:$AA29))</f>
        <v>5</v>
      </c>
      <c r="U27" s="385">
        <f>IF('★対戦リーグ表★'!BS28=0,"",'★対戦リーグ表★'!BS28)</f>
      </c>
      <c r="V27" s="142"/>
      <c r="W27" s="218" t="str">
        <f t="shared" si="12"/>
        <v>由本　拓</v>
      </c>
      <c r="X27" s="219">
        <f t="shared" si="23"/>
        <v>6</v>
      </c>
      <c r="Y27" s="220">
        <f t="shared" si="23"/>
        <v>4</v>
      </c>
      <c r="Z27" s="221">
        <f t="shared" si="24"/>
        <v>932</v>
      </c>
      <c r="AA27" s="222">
        <f t="shared" si="25"/>
        <v>6000932</v>
      </c>
      <c r="AB27" s="142"/>
      <c r="AC27" s="267"/>
      <c r="AD27" s="251"/>
      <c r="AE27" s="251"/>
      <c r="AF27" s="268"/>
      <c r="AG27" s="268"/>
      <c r="AH27" s="268"/>
      <c r="AI27" s="269"/>
    </row>
    <row r="28" spans="1:35" ht="14.25" customHeight="1">
      <c r="A28" s="493"/>
      <c r="B28" s="406" t="str">
        <f>IF('登録'!AG25=0,"",'登録'!AG25)</f>
        <v>田中 隆介</v>
      </c>
      <c r="C28" s="33">
        <f>'登録'!U19</f>
        <v>120</v>
      </c>
      <c r="D28" s="171" t="str">
        <f>IF('結果入力表'!F7="","",'結果入力表'!F7)</f>
        <v>w</v>
      </c>
      <c r="E28" s="172" t="str">
        <f>IF('結果入力表'!G28="","",'結果入力表'!G28)</f>
        <v>w</v>
      </c>
      <c r="F28" s="172">
        <f>IF('結果入力表'!G56="","",'結果入力表'!G56)</f>
        <v>66</v>
      </c>
      <c r="G28" s="172">
        <f>IF('結果入力表'!G84="","",'結果入力表'!G84)</f>
        <v>0</v>
      </c>
      <c r="H28" s="176" t="str">
        <f>IF('結果入力表'!F98="","",'結果入力表'!F98)</f>
        <v>w</v>
      </c>
      <c r="I28" s="179" t="str">
        <f>IF('結果入力表'!F110="","",'結果入力表'!F110)</f>
        <v>w</v>
      </c>
      <c r="J28" s="172" t="str">
        <f>IF('結果入力表'!G131="","",'結果入力表'!G131)</f>
        <v>w</v>
      </c>
      <c r="K28" s="172" t="str">
        <f>IF('結果入力表'!G159="","",'結果入力表'!G159)</f>
        <v>w</v>
      </c>
      <c r="L28" s="172">
        <f>IF('結果入力表'!G187="","",'結果入力表'!G187)</f>
        <v>54</v>
      </c>
      <c r="M28" s="176" t="str">
        <f>IF('結果入力表'!F201="","",'結果入力表'!F201)</f>
        <v>w</v>
      </c>
      <c r="N28" s="399">
        <f t="shared" si="26"/>
        <v>7</v>
      </c>
      <c r="O28" s="10">
        <f t="shared" si="27"/>
        <v>3</v>
      </c>
      <c r="P28" s="86">
        <f t="shared" si="28"/>
        <v>960</v>
      </c>
      <c r="Q28" s="86">
        <f>IF(N28="","",IF(C28='登録'!$I$8,P28,N28*'登録'!$I$8+SUM(D28:M28)/'★個人成績表★'!C28*'登録'!$I$8))</f>
        <v>960</v>
      </c>
      <c r="R28" s="390">
        <f t="shared" si="21"/>
      </c>
      <c r="S28" s="398">
        <f t="shared" si="22"/>
        <v>960</v>
      </c>
      <c r="T28" s="29">
        <f>IF(COUNTBLANK(D28:M28)=10,"",RANK(AA28,$AA23:$AA29))</f>
        <v>3</v>
      </c>
      <c r="U28" s="385">
        <f>IF('★対戦リーグ表★'!BS29=0,"",'★対戦リーグ表★'!BS29)</f>
      </c>
      <c r="V28" s="142"/>
      <c r="W28" s="218" t="str">
        <f t="shared" si="12"/>
        <v>田中 隆介</v>
      </c>
      <c r="X28" s="219">
        <f t="shared" si="23"/>
        <v>7</v>
      </c>
      <c r="Y28" s="220">
        <f t="shared" si="23"/>
        <v>3</v>
      </c>
      <c r="Z28" s="221">
        <f t="shared" si="24"/>
        <v>960</v>
      </c>
      <c r="AA28" s="222">
        <f t="shared" si="25"/>
        <v>7000960</v>
      </c>
      <c r="AB28" s="142"/>
      <c r="AC28" s="267"/>
      <c r="AD28" s="251"/>
      <c r="AE28" s="251"/>
      <c r="AF28" s="268"/>
      <c r="AG28" s="268"/>
      <c r="AH28" s="268"/>
      <c r="AI28" s="269"/>
    </row>
    <row r="29" spans="1:35" ht="14.25" customHeight="1" thickBot="1">
      <c r="A29" s="493"/>
      <c r="B29" s="407" t="str">
        <f>IF('登録'!AG26=0,"",'登録'!AG26)</f>
        <v>西田 恵子</v>
      </c>
      <c r="C29" s="193">
        <f>'登録'!X19</f>
        <v>100</v>
      </c>
      <c r="D29" s="194" t="str">
        <f>IF('結果入力表'!F8="","",'結果入力表'!F8)</f>
        <v>w</v>
      </c>
      <c r="E29" s="195" t="str">
        <f>IF('結果入力表'!G29="","",'結果入力表'!G29)</f>
        <v>w</v>
      </c>
      <c r="F29" s="195">
        <f>IF('結果入力表'!G57="","",'結果入力表'!G57)</f>
        <v>27</v>
      </c>
      <c r="G29" s="195">
        <f>IF('結果入力表'!G85="","",'結果入力表'!G85)</f>
        <v>62</v>
      </c>
      <c r="H29" s="196" t="str">
        <f>IF('結果入力表'!F99="","",'結果入力表'!F99)</f>
        <v>w</v>
      </c>
      <c r="I29" s="197">
        <f>IF('結果入力表'!F111="","",'結果入力表'!F111)</f>
        <v>22</v>
      </c>
      <c r="J29" s="195" t="str">
        <f>IF('結果入力表'!G132="","",'結果入力表'!G132)</f>
        <v>w</v>
      </c>
      <c r="K29" s="195" t="str">
        <f>IF('結果入力表'!G160="","",'結果入力表'!G160)</f>
        <v>w</v>
      </c>
      <c r="L29" s="195" t="str">
        <f>IF('結果入力表'!G188="","",'結果入力表'!G188)</f>
        <v>w</v>
      </c>
      <c r="M29" s="196">
        <f>IF('結果入力表'!F202="","",'結果入力表'!F202)</f>
        <v>24</v>
      </c>
      <c r="N29" s="400">
        <f t="shared" si="26"/>
        <v>6</v>
      </c>
      <c r="O29" s="198">
        <f t="shared" si="27"/>
        <v>4</v>
      </c>
      <c r="P29" s="199">
        <f t="shared" si="28"/>
        <v>735</v>
      </c>
      <c r="Q29" s="199">
        <f>IF(N29="","",IF(C29='登録'!$I$8,P29,N29*'登録'!$I$8+SUM(D29:M29)/'★個人成績表★'!C29*'登録'!$I$8))</f>
        <v>882</v>
      </c>
      <c r="R29" s="391" t="str">
        <f t="shared" si="21"/>
        <v>*</v>
      </c>
      <c r="S29" s="401">
        <f t="shared" si="22"/>
        <v>882</v>
      </c>
      <c r="T29" s="192">
        <f>IF(COUNTBLANK(D29:M29)=10,"",RANK(AA29,$AA23:$AA29))</f>
        <v>6</v>
      </c>
      <c r="U29" s="386">
        <f>IF('★対戦リーグ表★'!BS30=0,"",'★対戦リーグ表★'!BS30)</f>
      </c>
      <c r="V29" s="142"/>
      <c r="W29" s="237" t="str">
        <f t="shared" si="12"/>
        <v>西田 恵子</v>
      </c>
      <c r="X29" s="238">
        <f t="shared" si="23"/>
        <v>6</v>
      </c>
      <c r="Y29" s="239">
        <f t="shared" si="23"/>
        <v>4</v>
      </c>
      <c r="Z29" s="240">
        <f t="shared" si="24"/>
        <v>882</v>
      </c>
      <c r="AA29" s="241">
        <f t="shared" si="25"/>
        <v>6000882</v>
      </c>
      <c r="AB29" s="142"/>
      <c r="AC29" s="267"/>
      <c r="AD29" s="251"/>
      <c r="AE29" s="251"/>
      <c r="AF29" s="268"/>
      <c r="AG29" s="268"/>
      <c r="AH29" s="268"/>
      <c r="AI29" s="269"/>
    </row>
    <row r="30" spans="1:35" ht="14.25" customHeight="1" thickBot="1" thickTop="1">
      <c r="A30" s="494"/>
      <c r="B30" s="211" t="s">
        <v>84</v>
      </c>
      <c r="C30" s="34"/>
      <c r="D30" s="173"/>
      <c r="E30" s="174"/>
      <c r="F30" s="174"/>
      <c r="G30" s="174"/>
      <c r="H30" s="177"/>
      <c r="I30" s="180"/>
      <c r="J30" s="174"/>
      <c r="K30" s="174"/>
      <c r="L30" s="174"/>
      <c r="M30" s="177"/>
      <c r="N30" s="402">
        <f>IF(COUNTBLANK(N23:N29)=7,"",SUM(N23:N29))</f>
        <v>47</v>
      </c>
      <c r="O30" s="11">
        <f>IF(COUNTBLANK(O23:O29)=7,"",SUM(O23:O29))</f>
        <v>23</v>
      </c>
      <c r="P30" s="87">
        <f>IF(COUNTBLANK(P23:P29)=7,"",SUM(P23:P29))</f>
        <v>6519</v>
      </c>
      <c r="Q30" s="87">
        <f>IF(COUNTBLANK(Q23:Q29)=7,"",SUM(Q23:Q29))</f>
        <v>6666</v>
      </c>
      <c r="R30" s="392" t="str">
        <f t="shared" si="21"/>
        <v>*</v>
      </c>
      <c r="S30" s="403">
        <f>IF(COUNTBLANK(S23:S29)=7,"",IF(Q30=P30,P30,Q30))</f>
        <v>6666</v>
      </c>
      <c r="T30" s="12"/>
      <c r="U30" s="387"/>
      <c r="V30" s="142"/>
      <c r="W30" s="227"/>
      <c r="X30" s="228">
        <f t="shared" si="23"/>
        <v>47</v>
      </c>
      <c r="Y30" s="229">
        <f t="shared" si="23"/>
        <v>23</v>
      </c>
      <c r="Z30" s="230">
        <f t="shared" si="24"/>
        <v>6666</v>
      </c>
      <c r="AA30" s="231">
        <f t="shared" si="25"/>
        <v>47006666</v>
      </c>
      <c r="AB30" s="142"/>
      <c r="AC30" s="270"/>
      <c r="AD30" s="254"/>
      <c r="AE30" s="254"/>
      <c r="AF30" s="271"/>
      <c r="AG30" s="271"/>
      <c r="AH30" s="271"/>
      <c r="AI30" s="272"/>
    </row>
    <row r="31" spans="1:27" ht="14.25" customHeight="1" thickBot="1">
      <c r="A31" s="492" t="str">
        <f>IF('登録'!B20="","",'登録'!B20)</f>
        <v>NRC</v>
      </c>
      <c r="B31" s="210" t="str">
        <f>B22</f>
        <v>Player＼VS</v>
      </c>
      <c r="C31" s="31" t="str">
        <f>C22</f>
        <v>持点</v>
      </c>
      <c r="D31" s="212" t="str">
        <f>'登録'!BI6</f>
        <v>ORC</v>
      </c>
      <c r="E31" s="213" t="str">
        <f>'登録'!BJ6</f>
        <v>WRC</v>
      </c>
      <c r="F31" s="213" t="str">
        <f>'登録'!BK6</f>
        <v>KRC</v>
      </c>
      <c r="G31" s="213" t="str">
        <f>'登録'!BL6</f>
        <v>HRC</v>
      </c>
      <c r="H31" s="214" t="str">
        <f>'登録'!BM6</f>
        <v>SBC</v>
      </c>
      <c r="I31" s="215" t="str">
        <f>D31</f>
        <v>ORC</v>
      </c>
      <c r="J31" s="372" t="str">
        <f>E31</f>
        <v>WRC</v>
      </c>
      <c r="K31" s="213" t="str">
        <f>F31</f>
        <v>KRC</v>
      </c>
      <c r="L31" s="213" t="str">
        <f>G31</f>
        <v>HRC</v>
      </c>
      <c r="M31" s="214" t="str">
        <f>H31</f>
        <v>SBC</v>
      </c>
      <c r="N31" s="394" t="s">
        <v>79</v>
      </c>
      <c r="O31" s="207" t="s">
        <v>80</v>
      </c>
      <c r="P31" s="208" t="s">
        <v>81</v>
      </c>
      <c r="Q31" s="208" t="s">
        <v>82</v>
      </c>
      <c r="R31" s="393" t="s">
        <v>28</v>
      </c>
      <c r="S31" s="404"/>
      <c r="T31" s="209" t="s">
        <v>78</v>
      </c>
      <c r="U31" s="383" t="s">
        <v>87</v>
      </c>
      <c r="W31" s="223" t="s">
        <v>89</v>
      </c>
      <c r="X31" s="224" t="s">
        <v>16</v>
      </c>
      <c r="Y31" s="225" t="s">
        <v>17</v>
      </c>
      <c r="Z31" s="225" t="s">
        <v>18</v>
      </c>
      <c r="AA31" s="226" t="s">
        <v>27</v>
      </c>
    </row>
    <row r="32" spans="1:27" ht="14.25" customHeight="1" thickTop="1">
      <c r="A32" s="493"/>
      <c r="B32" s="405" t="str">
        <f>IF('登録'!AG29=0,"",'登録'!AG29)</f>
        <v>白戸 玲人</v>
      </c>
      <c r="C32" s="32">
        <f>'登録'!F20</f>
        <v>120</v>
      </c>
      <c r="D32" s="169">
        <f>IF('結果入力表'!G2="","",'結果入力表'!G2)</f>
        <v>83</v>
      </c>
      <c r="E32" s="170" t="str">
        <f>IF('結果入力表'!G30="","",'結果入力表'!G30)</f>
        <v>w</v>
      </c>
      <c r="F32" s="170" t="str">
        <f>IF('結果入力表'!G58="","",'結果入力表'!G58)</f>
        <v>w</v>
      </c>
      <c r="G32" s="170" t="str">
        <f>IF('結果入力表'!F72="","",'結果入力表'!F72)</f>
        <v>w</v>
      </c>
      <c r="H32" s="175" t="str">
        <f>IF('結果入力表'!F86="","",'結果入力表'!F86)</f>
        <v>w</v>
      </c>
      <c r="I32" s="439" t="str">
        <f>IF('結果入力表'!G111="","",'結果入力表'!G111)</f>
        <v>w</v>
      </c>
      <c r="J32" s="373">
        <f>IF('結果入力表'!G139="","",'結果入力表'!G139)</f>
        <v>78</v>
      </c>
      <c r="K32" s="373" t="str">
        <f>IF('結果入力表'!G167="","",'結果入力表'!G167)</f>
        <v>w</v>
      </c>
      <c r="L32" s="373">
        <f>IF('結果入力表'!F181="","",'結果入力表'!F181)</f>
        <v>52</v>
      </c>
      <c r="M32" s="440" t="str">
        <f>IF('結果入力表'!F195="","",'結果入力表'!F195)</f>
        <v>w</v>
      </c>
      <c r="N32" s="395">
        <f>IF(COUNTBLANK(D32:M32)=10,"",COUNTIF(D32:M32,"w"))</f>
        <v>7</v>
      </c>
      <c r="O32" s="8">
        <f>IF(COUNTBLANK(D32:M32)=10,"",10-COUNTBLANK(D32:M32)-N32)</f>
        <v>3</v>
      </c>
      <c r="P32" s="89">
        <f>IF(N32="","",N32*C32+SUM(D32:M32))</f>
        <v>1053</v>
      </c>
      <c r="Q32" s="89">
        <f>IF(N32="","",IF(C32='登録'!$I$8,P32,N32*'登録'!$I$8+SUM(D32:M32)/'★個人成績表★'!C32*'登録'!$I$8))</f>
        <v>1053</v>
      </c>
      <c r="R32" s="389">
        <f aca="true" t="shared" si="29" ref="R32:R39">IF(P32=Q32,"","*")</f>
      </c>
      <c r="S32" s="396">
        <f aca="true" t="shared" si="30" ref="S32:S38">IF(COUNTBLANK(D32:M32)=10,"",Q32)</f>
        <v>1053</v>
      </c>
      <c r="T32" s="28">
        <f>IF(COUNTBLANK(D32:M32)=10,"",RANK(AA32,$AA32:$AA38))</f>
        <v>1</v>
      </c>
      <c r="U32" s="384">
        <f>IF('★対戦リーグ表★'!BS33=0,"",'★対戦リーグ表★'!BS33)</f>
        <v>120</v>
      </c>
      <c r="W32" s="232" t="str">
        <f>B32</f>
        <v>白戸 玲人</v>
      </c>
      <c r="X32" s="233">
        <f aca="true" t="shared" si="31" ref="X32:Y39">N32</f>
        <v>7</v>
      </c>
      <c r="Y32" s="234">
        <f t="shared" si="31"/>
        <v>3</v>
      </c>
      <c r="Z32" s="235">
        <f aca="true" t="shared" si="32" ref="Z32:Z39">Q32</f>
        <v>1053</v>
      </c>
      <c r="AA32" s="236">
        <f aca="true" t="shared" si="33" ref="AA32:AA39">X32*1000000+Z32</f>
        <v>7001053</v>
      </c>
    </row>
    <row r="33" spans="1:27" ht="14.25" customHeight="1">
      <c r="A33" s="493"/>
      <c r="B33" s="406" t="str">
        <f>IF('登録'!AG30=0,"",'登録'!AG30)</f>
        <v>近藤 拓馬</v>
      </c>
      <c r="C33" s="33">
        <f>'登録'!I20</f>
        <v>120</v>
      </c>
      <c r="D33" s="171">
        <f>IF('結果入力表'!G3="","",'結果入力表'!G3)</f>
        <v>12</v>
      </c>
      <c r="E33" s="172">
        <f>IF('結果入力表'!G31="","",'結果入力表'!G31)</f>
        <v>43</v>
      </c>
      <c r="F33" s="172">
        <f>IF('結果入力表'!G59="","",'結果入力表'!G59)</f>
        <v>106</v>
      </c>
      <c r="G33" s="172">
        <f>IF('結果入力表'!F73="","",'結果入力表'!F73)</f>
        <v>52</v>
      </c>
      <c r="H33" s="176">
        <f>IF('結果入力表'!F87="","",'結果入力表'!F87)</f>
        <v>91</v>
      </c>
      <c r="I33" s="442">
        <f>IF('結果入力表'!G112="","",'結果入力表'!G112)</f>
        <v>64</v>
      </c>
      <c r="J33" s="374">
        <f>IF('結果入力表'!G140="","",'結果入力表'!G140)</f>
        <v>78</v>
      </c>
      <c r="K33" s="374">
        <f>IF('結果入力表'!G168="","",'結果入力表'!G168)</f>
        <v>0</v>
      </c>
      <c r="L33" s="374">
        <f>IF('結果入力表'!F182="","",'結果入力表'!F182)</f>
        <v>111</v>
      </c>
      <c r="M33" s="443">
        <f>IF('結果入力表'!F196="","",'結果入力表'!F196)</f>
        <v>22</v>
      </c>
      <c r="N33" s="397">
        <f aca="true" t="shared" si="34" ref="N33:N38">IF(COUNTBLANK(D33:M33)=10,"",COUNTIF(D33:M33,"w"))</f>
        <v>0</v>
      </c>
      <c r="O33" s="9">
        <f aca="true" t="shared" si="35" ref="O33:O38">IF(COUNTBLANK(D33:M33)=10,"",10-COUNTBLANK(D33:M33)-N33)</f>
        <v>10</v>
      </c>
      <c r="P33" s="86">
        <f aca="true" t="shared" si="36" ref="P33:P38">IF(N33="","",N33*C33+SUM(D33:M33))</f>
        <v>579</v>
      </c>
      <c r="Q33" s="86">
        <f>IF(N33="","",IF(C33='登録'!$I$8,P33,N33*'登録'!$I$8+SUM(D33:M33)/'★個人成績表★'!C33*'登録'!$I$8))</f>
        <v>579</v>
      </c>
      <c r="R33" s="390">
        <f t="shared" si="29"/>
      </c>
      <c r="S33" s="398">
        <f t="shared" si="30"/>
        <v>579</v>
      </c>
      <c r="T33" s="29">
        <f>IF(COUNTBLANK(D33:M33)=10,"",RANK(AA33,$AA32:$AA38))</f>
        <v>7</v>
      </c>
      <c r="U33" s="385">
        <f>IF('★対戦リーグ表★'!BS34=0,"",'★対戦リーグ表★'!BS34)</f>
      </c>
      <c r="W33" s="218" t="str">
        <f t="shared" si="12"/>
        <v>近藤 拓馬</v>
      </c>
      <c r="X33" s="219">
        <f t="shared" si="31"/>
        <v>0</v>
      </c>
      <c r="Y33" s="220">
        <f t="shared" si="31"/>
        <v>10</v>
      </c>
      <c r="Z33" s="221">
        <f t="shared" si="32"/>
        <v>579</v>
      </c>
      <c r="AA33" s="222">
        <f t="shared" si="33"/>
        <v>579</v>
      </c>
    </row>
    <row r="34" spans="1:27" ht="14.25" customHeight="1">
      <c r="A34" s="493"/>
      <c r="B34" s="406" t="str">
        <f>IF('登録'!AG31=0,"",'登録'!AG31)</f>
        <v>吉向 翔平</v>
      </c>
      <c r="C34" s="33">
        <f>'登録'!L20</f>
        <v>120</v>
      </c>
      <c r="D34" s="171">
        <f>IF('結果入力表'!G4="","",'結果入力表'!G4)</f>
        <v>34</v>
      </c>
      <c r="E34" s="172" t="str">
        <f>IF('結果入力表'!G32="","",'結果入力表'!G32)</f>
        <v>w</v>
      </c>
      <c r="F34" s="172" t="str">
        <f>IF('結果入力表'!G60="","",'結果入力表'!G60)</f>
        <v>w</v>
      </c>
      <c r="G34" s="172" t="str">
        <f>IF('結果入力表'!F74="","",'結果入力表'!F74)</f>
        <v>w</v>
      </c>
      <c r="H34" s="176" t="str">
        <f>IF('結果入力表'!F88="","",'結果入力表'!F88)</f>
        <v>w</v>
      </c>
      <c r="I34" s="442">
        <f>IF('結果入力表'!G113="","",'結果入力表'!G113)</f>
        <v>70</v>
      </c>
      <c r="J34" s="374" t="str">
        <f>IF('結果入力表'!G141="","",'結果入力表'!G141)</f>
        <v>w</v>
      </c>
      <c r="K34" s="374" t="str">
        <f>IF('結果入力表'!G169="","",'結果入力表'!G169)</f>
        <v>w</v>
      </c>
      <c r="L34" s="374" t="str">
        <f>IF('結果入力表'!F183="","",'結果入力表'!F183)</f>
        <v>w</v>
      </c>
      <c r="M34" s="443">
        <f>IF('結果入力表'!F197="","",'結果入力表'!F197)</f>
        <v>90</v>
      </c>
      <c r="N34" s="399">
        <f t="shared" si="34"/>
        <v>7</v>
      </c>
      <c r="O34" s="10">
        <f t="shared" si="35"/>
        <v>3</v>
      </c>
      <c r="P34" s="86">
        <f t="shared" si="36"/>
        <v>1034</v>
      </c>
      <c r="Q34" s="86">
        <f>IF(N34="","",IF(C34='登録'!$I$8,P34,N34*'登録'!$I$8+SUM(D34:M34)/'★個人成績表★'!C34*'登録'!$I$8))</f>
        <v>1034</v>
      </c>
      <c r="R34" s="390">
        <f t="shared" si="29"/>
      </c>
      <c r="S34" s="398">
        <f t="shared" si="30"/>
        <v>1034</v>
      </c>
      <c r="T34" s="27">
        <f>IF(COUNTBLANK(D34:M34)=10,"",RANK(AA34,$AA32:$AA38))</f>
        <v>2</v>
      </c>
      <c r="U34" s="385">
        <f>IF('★対戦リーグ表★'!BS35=0,"",'★対戦リーグ表★'!BS35)</f>
        <v>103</v>
      </c>
      <c r="W34" s="218" t="str">
        <f t="shared" si="12"/>
        <v>吉向 翔平</v>
      </c>
      <c r="X34" s="219">
        <f t="shared" si="31"/>
        <v>7</v>
      </c>
      <c r="Y34" s="220">
        <f t="shared" si="31"/>
        <v>3</v>
      </c>
      <c r="Z34" s="221">
        <f t="shared" si="32"/>
        <v>1034</v>
      </c>
      <c r="AA34" s="222">
        <f t="shared" si="33"/>
        <v>7001034</v>
      </c>
    </row>
    <row r="35" spans="1:27" ht="14.25" customHeight="1">
      <c r="A35" s="493"/>
      <c r="B35" s="406" t="str">
        <f>IF('登録'!AG32=0,"",'登録'!AG32)</f>
        <v>山田 普之</v>
      </c>
      <c r="C35" s="33">
        <f>'登録'!O20</f>
        <v>120</v>
      </c>
      <c r="D35" s="171">
        <f>IF('結果入力表'!G5="","",'結果入力表'!G5)</f>
        <v>92</v>
      </c>
      <c r="E35" s="172" t="str">
        <f>IF('結果入力表'!G33="","",'結果入力表'!G33)</f>
        <v>w</v>
      </c>
      <c r="F35" s="172" t="str">
        <f>IF('結果入力表'!G61="","",'結果入力表'!G61)</f>
        <v>w</v>
      </c>
      <c r="G35" s="172" t="str">
        <f>IF('結果入力表'!F75="","",'結果入力表'!F75)</f>
        <v>w</v>
      </c>
      <c r="H35" s="176">
        <f>IF('結果入力表'!F89="","",'結果入力表'!F89)</f>
        <v>41</v>
      </c>
      <c r="I35" s="179">
        <f>IF('結果入力表'!G107="","",'結果入力表'!G107)</f>
        <v>3</v>
      </c>
      <c r="J35" s="374" t="str">
        <f>IF('結果入力表'!G135="","",'結果入力表'!G135)</f>
        <v>w</v>
      </c>
      <c r="K35" s="172">
        <f>IF('結果入力表'!G163="","",'結果入力表'!G163)</f>
        <v>0</v>
      </c>
      <c r="L35" s="172" t="str">
        <f>IF('結果入力表'!F177="","",'結果入力表'!F177)</f>
        <v>w</v>
      </c>
      <c r="M35" s="176" t="str">
        <f>IF('結果入力表'!F191="","",'結果入力表'!F191)</f>
        <v>w</v>
      </c>
      <c r="N35" s="399">
        <f t="shared" si="34"/>
        <v>6</v>
      </c>
      <c r="O35" s="10">
        <f t="shared" si="35"/>
        <v>4</v>
      </c>
      <c r="P35" s="86">
        <f t="shared" si="36"/>
        <v>856</v>
      </c>
      <c r="Q35" s="86">
        <f>IF(N35="","",IF(C35='登録'!$I$8,P35,N35*'登録'!$I$8+SUM(D35:M35)/'★個人成績表★'!C35*'登録'!$I$8))</f>
        <v>856</v>
      </c>
      <c r="R35" s="390">
        <f t="shared" si="29"/>
      </c>
      <c r="S35" s="398">
        <f t="shared" si="30"/>
        <v>856</v>
      </c>
      <c r="T35" s="29">
        <f>IF(COUNTBLANK(D35:M35)=10,"",RANK(AA35,$AA32:$AA38))</f>
        <v>3</v>
      </c>
      <c r="U35" s="385">
        <f>IF('★対戦リーグ表★'!BS36=0,"",'★対戦リーグ表★'!BS36)</f>
        <v>120</v>
      </c>
      <c r="W35" s="218" t="str">
        <f t="shared" si="12"/>
        <v>山田 普之</v>
      </c>
      <c r="X35" s="219">
        <f t="shared" si="31"/>
        <v>6</v>
      </c>
      <c r="Y35" s="220">
        <f t="shared" si="31"/>
        <v>4</v>
      </c>
      <c r="Z35" s="221">
        <f t="shared" si="32"/>
        <v>856</v>
      </c>
      <c r="AA35" s="222">
        <f t="shared" si="33"/>
        <v>6000856</v>
      </c>
    </row>
    <row r="36" spans="1:27" ht="14.25" customHeight="1">
      <c r="A36" s="493"/>
      <c r="B36" s="406" t="str">
        <f>IF('登録'!AG33=0,"",'登録'!AG33)</f>
        <v>山田 晃司</v>
      </c>
      <c r="C36" s="33">
        <f>'登録'!R20</f>
        <v>120</v>
      </c>
      <c r="D36" s="171" t="str">
        <f>IF('結果入力表'!G6="","",'結果入力表'!G6)</f>
        <v>w</v>
      </c>
      <c r="E36" s="172">
        <f>IF('結果入力表'!G34="","",'結果入力表'!G34)</f>
        <v>26</v>
      </c>
      <c r="F36" s="172">
        <f>IF('結果入力表'!G62="","",'結果入力表'!G62)</f>
        <v>43</v>
      </c>
      <c r="G36" s="172" t="str">
        <f>IF('結果入力表'!F76="","",'結果入力表'!F76)</f>
        <v>w</v>
      </c>
      <c r="H36" s="176" t="str">
        <f>IF('結果入力表'!F90="","",'結果入力表'!F90)</f>
        <v>w</v>
      </c>
      <c r="I36" s="179">
        <f>IF('結果入力表'!G108="","",'結果入力表'!G108)</f>
        <v>21</v>
      </c>
      <c r="J36" s="374" t="str">
        <f>IF('結果入力表'!G136="","",'結果入力表'!G136)</f>
        <v>w</v>
      </c>
      <c r="K36" s="172">
        <f>IF('結果入力表'!G164="","",'結果入力表'!G164)</f>
        <v>16</v>
      </c>
      <c r="L36" s="172" t="str">
        <f>IF('結果入力表'!F178="","",'結果入力表'!F178)</f>
        <v>w</v>
      </c>
      <c r="M36" s="176" t="str">
        <f>IF('結果入力表'!F192="","",'結果入力表'!F192)</f>
        <v>w</v>
      </c>
      <c r="N36" s="399">
        <f t="shared" si="34"/>
        <v>6</v>
      </c>
      <c r="O36" s="10">
        <f t="shared" si="35"/>
        <v>4</v>
      </c>
      <c r="P36" s="86">
        <f t="shared" si="36"/>
        <v>826</v>
      </c>
      <c r="Q36" s="86">
        <f>IF(N36="","",IF(C36='登録'!$I$8,P36,N36*'登録'!$I$8+SUM(D36:M36)/'★個人成績表★'!C36*'登録'!$I$8))</f>
        <v>826</v>
      </c>
      <c r="R36" s="390">
        <f t="shared" si="29"/>
      </c>
      <c r="S36" s="398">
        <f t="shared" si="30"/>
        <v>826</v>
      </c>
      <c r="T36" s="27">
        <f>IF(COUNTBLANK(D36:M36)=10,"",RANK(AA36,$AA32:$AA38))</f>
        <v>4</v>
      </c>
      <c r="U36" s="385">
        <f>IF('★対戦リーグ表★'!BS37=0,"",'★対戦リーグ表★'!BS37)</f>
        <v>102</v>
      </c>
      <c r="W36" s="218" t="str">
        <f t="shared" si="12"/>
        <v>山田 晃司</v>
      </c>
      <c r="X36" s="219">
        <f t="shared" si="31"/>
        <v>6</v>
      </c>
      <c r="Y36" s="220">
        <f t="shared" si="31"/>
        <v>4</v>
      </c>
      <c r="Z36" s="221">
        <f t="shared" si="32"/>
        <v>826</v>
      </c>
      <c r="AA36" s="222">
        <f t="shared" si="33"/>
        <v>6000826</v>
      </c>
    </row>
    <row r="37" spans="1:27" ht="14.25" customHeight="1">
      <c r="A37" s="493"/>
      <c r="B37" s="406" t="str">
        <f>IF('登録'!AG34=0,"",'登録'!AG34)</f>
        <v>長谷川 進</v>
      </c>
      <c r="C37" s="33">
        <f>'登録'!U20</f>
        <v>120</v>
      </c>
      <c r="D37" s="171">
        <f>IF('結果入力表'!G7="","",'結果入力表'!G7)</f>
        <v>46</v>
      </c>
      <c r="E37" s="172">
        <f>IF('結果入力表'!G35="","",'結果入力表'!G35)</f>
        <v>101</v>
      </c>
      <c r="F37" s="172">
        <f>IF('結果入力表'!G63="","",'結果入力表'!G63)</f>
        <v>98</v>
      </c>
      <c r="G37" s="172" t="str">
        <f>IF('結果入力表'!F77="","",'結果入力表'!F77)</f>
        <v>s</v>
      </c>
      <c r="H37" s="176" t="str">
        <f>IF('結果入力表'!F91="","",'結果入力表'!F91)</f>
        <v>w</v>
      </c>
      <c r="I37" s="179">
        <f>IF('結果入力表'!G109="","",'結果入力表'!G109)</f>
        <v>29</v>
      </c>
      <c r="J37" s="374">
        <f>IF('結果入力表'!G137="","",'結果入力表'!G137)</f>
        <v>27</v>
      </c>
      <c r="K37" s="172">
        <f>IF('結果入力表'!G165="","",'結果入力表'!G165)</f>
        <v>0</v>
      </c>
      <c r="L37" s="172" t="str">
        <f>IF('結果入力表'!F179="","",'結果入力表'!F179)</f>
        <v>w</v>
      </c>
      <c r="M37" s="176" t="str">
        <f>IF('結果入力表'!F193="","",'結果入力表'!F193)</f>
        <v>w</v>
      </c>
      <c r="N37" s="399">
        <f t="shared" si="34"/>
        <v>3</v>
      </c>
      <c r="O37" s="10">
        <f t="shared" si="35"/>
        <v>7</v>
      </c>
      <c r="P37" s="86">
        <f t="shared" si="36"/>
        <v>661</v>
      </c>
      <c r="Q37" s="86">
        <f>IF(N37="","",IF(C37='登録'!$I$8,P37,N37*'登録'!$I$8+SUM(D37:M37)/'★個人成績表★'!C37*'登録'!$I$8))</f>
        <v>661</v>
      </c>
      <c r="R37" s="390">
        <f t="shared" si="29"/>
      </c>
      <c r="S37" s="398">
        <f t="shared" si="30"/>
        <v>661</v>
      </c>
      <c r="T37" s="29">
        <f>IF(COUNTBLANK(D37:M37)=10,"",RANK(AA37,$AA32:$AA38))</f>
        <v>5</v>
      </c>
      <c r="U37" s="385">
        <f>IF('★対戦リーグ表★'!BS38=0,"",'★対戦リーグ表★'!BS38)</f>
      </c>
      <c r="W37" s="218" t="str">
        <f t="shared" si="12"/>
        <v>長谷川 進</v>
      </c>
      <c r="X37" s="219">
        <f t="shared" si="31"/>
        <v>3</v>
      </c>
      <c r="Y37" s="220">
        <f t="shared" si="31"/>
        <v>7</v>
      </c>
      <c r="Z37" s="221">
        <f t="shared" si="32"/>
        <v>661</v>
      </c>
      <c r="AA37" s="222">
        <f t="shared" si="33"/>
        <v>3000661</v>
      </c>
    </row>
    <row r="38" spans="1:27" ht="14.25" customHeight="1" thickBot="1">
      <c r="A38" s="493"/>
      <c r="B38" s="407" t="str">
        <f>IF('登録'!AG35=0,"",'登録'!AG35)</f>
        <v>宮野 早織</v>
      </c>
      <c r="C38" s="193">
        <f>'登録'!X20</f>
        <v>100</v>
      </c>
      <c r="D38" s="194">
        <f>IF('結果入力表'!G8="","",'結果入力表'!G8)</f>
        <v>31</v>
      </c>
      <c r="E38" s="195">
        <f>IF('結果入力表'!G36="","",'結果入力表'!G36)</f>
        <v>45</v>
      </c>
      <c r="F38" s="195">
        <f>IF('結果入力表'!G64="","",'結果入力表'!G64)</f>
        <v>69</v>
      </c>
      <c r="G38" s="195" t="str">
        <f>IF('結果入力表'!F78="","",'結果入力表'!F78)</f>
        <v>w</v>
      </c>
      <c r="H38" s="196">
        <f>IF('結果入力表'!F92="","",'結果入力表'!F92)</f>
        <v>60</v>
      </c>
      <c r="I38" s="197">
        <f>IF('結果入力表'!G110="","",'結果入力表'!G110)</f>
        <v>41</v>
      </c>
      <c r="J38" s="375">
        <f>IF('結果入力表'!G138="","",'結果入力表'!G138)</f>
        <v>20</v>
      </c>
      <c r="K38" s="195">
        <f>IF('結果入力表'!G166="","",'結果入力表'!G166)</f>
        <v>56</v>
      </c>
      <c r="L38" s="195">
        <f>IF('結果入力表'!F180="","",'結果入力表'!F180)</f>
        <v>65</v>
      </c>
      <c r="M38" s="196">
        <f>IF('結果入力表'!F194="","",'結果入力表'!F194)</f>
        <v>17</v>
      </c>
      <c r="N38" s="400">
        <f t="shared" si="34"/>
        <v>1</v>
      </c>
      <c r="O38" s="198">
        <f t="shared" si="35"/>
        <v>9</v>
      </c>
      <c r="P38" s="199">
        <f t="shared" si="36"/>
        <v>504</v>
      </c>
      <c r="Q38" s="199">
        <f>IF(N38="","",IF(C38='登録'!$I$8,P38,N38*'登録'!$I$8+SUM(D38:M38)/'★個人成績表★'!C38*'登録'!$I$8))</f>
        <v>604.8</v>
      </c>
      <c r="R38" s="391" t="str">
        <f t="shared" si="29"/>
        <v>*</v>
      </c>
      <c r="S38" s="401">
        <f t="shared" si="30"/>
        <v>604.8</v>
      </c>
      <c r="T38" s="192">
        <f>IF(COUNTBLANK(D38:M38)=10,"",RANK(AA38,$AA32:$AA38))</f>
        <v>6</v>
      </c>
      <c r="U38" s="386">
        <f>IF('★対戦リーグ表★'!BS39=0,"",'★対戦リーグ表★'!BS39)</f>
      </c>
      <c r="W38" s="237" t="str">
        <f t="shared" si="12"/>
        <v>宮野 早織</v>
      </c>
      <c r="X38" s="238">
        <f t="shared" si="31"/>
        <v>1</v>
      </c>
      <c r="Y38" s="239">
        <f t="shared" si="31"/>
        <v>9</v>
      </c>
      <c r="Z38" s="240">
        <f t="shared" si="32"/>
        <v>604.8</v>
      </c>
      <c r="AA38" s="241">
        <f t="shared" si="33"/>
        <v>1000604.8</v>
      </c>
    </row>
    <row r="39" spans="1:27" ht="14.25" customHeight="1" thickBot="1" thickTop="1">
      <c r="A39" s="494"/>
      <c r="B39" s="211" t="s">
        <v>85</v>
      </c>
      <c r="C39" s="34"/>
      <c r="D39" s="173"/>
      <c r="E39" s="174"/>
      <c r="F39" s="174"/>
      <c r="G39" s="174"/>
      <c r="H39" s="177"/>
      <c r="I39" s="180"/>
      <c r="J39" s="174"/>
      <c r="K39" s="174"/>
      <c r="L39" s="174"/>
      <c r="M39" s="177"/>
      <c r="N39" s="402">
        <f>IF(COUNTBLANK(N32:N38)=7,"",SUM(N32:N38))</f>
        <v>30</v>
      </c>
      <c r="O39" s="11">
        <f>IF(COUNTBLANK(O32:O38)=7,"",SUM(O32:O38))</f>
        <v>40</v>
      </c>
      <c r="P39" s="87">
        <f>IF(COUNTBLANK(P32:P38)=7,"",SUM(P32:P38))</f>
        <v>5513</v>
      </c>
      <c r="Q39" s="87">
        <f>IF(COUNTBLANK(Q32:Q38)=7,"",SUM(Q32:Q38))</f>
        <v>5613.8</v>
      </c>
      <c r="R39" s="392" t="str">
        <f t="shared" si="29"/>
        <v>*</v>
      </c>
      <c r="S39" s="403">
        <f>IF(COUNTBLANK(S32:S38)=7,"",IF(Q39=P39,P39,Q39))</f>
        <v>5613.8</v>
      </c>
      <c r="T39" s="12"/>
      <c r="U39" s="387"/>
      <c r="W39" s="227"/>
      <c r="X39" s="228">
        <f t="shared" si="31"/>
        <v>30</v>
      </c>
      <c r="Y39" s="229">
        <f t="shared" si="31"/>
        <v>40</v>
      </c>
      <c r="Z39" s="230">
        <f t="shared" si="32"/>
        <v>5613.8</v>
      </c>
      <c r="AA39" s="231">
        <f t="shared" si="33"/>
        <v>30005613.8</v>
      </c>
    </row>
    <row r="40" spans="1:27" ht="14.25" customHeight="1" thickBot="1">
      <c r="A40" s="492" t="str">
        <f>IF('登録'!B21="","",'登録'!B21)</f>
        <v>SBC</v>
      </c>
      <c r="B40" s="210" t="str">
        <f>B22</f>
        <v>Player＼VS</v>
      </c>
      <c r="C40" s="31" t="str">
        <f>C22</f>
        <v>持点</v>
      </c>
      <c r="D40" s="212" t="str">
        <f>'登録'!BI7</f>
        <v>HRC</v>
      </c>
      <c r="E40" s="213" t="str">
        <f>'登録'!BJ7</f>
        <v>KRC</v>
      </c>
      <c r="F40" s="213" t="str">
        <f>'登録'!BK7</f>
        <v>ORC</v>
      </c>
      <c r="G40" s="213" t="str">
        <f>'登録'!BL7</f>
        <v>WRC</v>
      </c>
      <c r="H40" s="214" t="str">
        <f>'登録'!BM7</f>
        <v>NRC</v>
      </c>
      <c r="I40" s="215" t="str">
        <f>D40</f>
        <v>HRC</v>
      </c>
      <c r="J40" s="213" t="str">
        <f>E40</f>
        <v>KRC</v>
      </c>
      <c r="K40" s="213" t="str">
        <f>F40</f>
        <v>ORC</v>
      </c>
      <c r="L40" s="213" t="str">
        <f>G40</f>
        <v>WRC</v>
      </c>
      <c r="M40" s="214" t="str">
        <f>H40</f>
        <v>NRC</v>
      </c>
      <c r="N40" s="394" t="s">
        <v>79</v>
      </c>
      <c r="O40" s="207" t="s">
        <v>80</v>
      </c>
      <c r="P40" s="208" t="s">
        <v>81</v>
      </c>
      <c r="Q40" s="208" t="s">
        <v>82</v>
      </c>
      <c r="R40" s="393" t="s">
        <v>28</v>
      </c>
      <c r="S40" s="404"/>
      <c r="T40" s="209" t="s">
        <v>78</v>
      </c>
      <c r="U40" s="383" t="s">
        <v>87</v>
      </c>
      <c r="W40" s="223" t="s">
        <v>89</v>
      </c>
      <c r="X40" s="224" t="s">
        <v>16</v>
      </c>
      <c r="Y40" s="225" t="s">
        <v>17</v>
      </c>
      <c r="Z40" s="225" t="s">
        <v>18</v>
      </c>
      <c r="AA40" s="226" t="s">
        <v>27</v>
      </c>
    </row>
    <row r="41" spans="1:27" ht="14.25" customHeight="1" thickTop="1">
      <c r="A41" s="493"/>
      <c r="B41" s="405" t="str">
        <f>IF('登録'!AG38=0,"",'登録'!AG38)</f>
        <v>西峰 久祐</v>
      </c>
      <c r="C41" s="32">
        <f>'登録'!F21</f>
        <v>120</v>
      </c>
      <c r="D41" s="169">
        <f>IF('結果入力表'!G9="","",'結果入力表'!G9)</f>
        <v>17</v>
      </c>
      <c r="E41" s="170">
        <f>IF('結果入力表'!G37="","",'結果入力表'!G37)</f>
        <v>14</v>
      </c>
      <c r="F41" s="170" t="str">
        <f>IF('結果入力表'!F51="","",'結果入力表'!F51)</f>
        <v>w</v>
      </c>
      <c r="G41" s="170">
        <f>IF('結果入力表'!F65="","",'結果入力表'!F65)</f>
        <v>6</v>
      </c>
      <c r="H41" s="175">
        <f>IF('結果入力表'!G86="","",'結果入力表'!G86)</f>
        <v>45</v>
      </c>
      <c r="I41" s="439">
        <f>IF('結果入力表'!G117="","",'結果入力表'!G117)</f>
        <v>6</v>
      </c>
      <c r="J41" s="373" t="str">
        <f>IF('結果入力表'!G145="","",'結果入力表'!G145)</f>
        <v>w</v>
      </c>
      <c r="K41" s="373">
        <f>IF('結果入力表'!F159="","",'結果入力表'!F159)</f>
        <v>33</v>
      </c>
      <c r="L41" s="373">
        <f>IF('結果入力表'!F173="","",'結果入力表'!F173)</f>
        <v>1</v>
      </c>
      <c r="M41" s="440" t="str">
        <f>IF('結果入力表'!G194="","",'結果入力表'!G194)</f>
        <v>w</v>
      </c>
      <c r="N41" s="395">
        <f>IF(COUNTBLANK(D41:M41)=10,"",COUNTIF(D41:M41,"w"))</f>
        <v>3</v>
      </c>
      <c r="O41" s="8">
        <f>IF(COUNTBLANK(D41:M41)=10,"",10-COUNTBLANK(D41:M41)-N41)</f>
        <v>7</v>
      </c>
      <c r="P41" s="89">
        <f>IF(N41="","",N41*C41+SUM(D41:M41))</f>
        <v>482</v>
      </c>
      <c r="Q41" s="89">
        <f>IF(N41="","",IF(C41='登録'!$I$8,P41,N41*'登録'!$I$8+SUM(D41:M41)/'★個人成績表★'!C41*'登録'!$I$8))</f>
        <v>482</v>
      </c>
      <c r="R41" s="389">
        <f aca="true" t="shared" si="37" ref="R41:R57">IF(P41=Q41,"","*")</f>
      </c>
      <c r="S41" s="396">
        <f aca="true" t="shared" si="38" ref="S41:S47">IF(COUNTBLANK(D41:M41)=10,"",Q41)</f>
        <v>482</v>
      </c>
      <c r="T41" s="28">
        <f>IF(COUNTBLANK(D41:M41)=10,"",RANK(AA41,$AA41:$AA47))</f>
        <v>7</v>
      </c>
      <c r="U41" s="384">
        <f>IF('★対戦リーグ表★'!BS42=0,"",'★対戦リーグ表★'!BS42)</f>
      </c>
      <c r="W41" s="232" t="str">
        <f>B41</f>
        <v>西峰 久祐</v>
      </c>
      <c r="X41" s="233">
        <f aca="true" t="shared" si="39" ref="X41:X48">N41</f>
        <v>3</v>
      </c>
      <c r="Y41" s="234">
        <f aca="true" t="shared" si="40" ref="Y41:Y48">O41</f>
        <v>7</v>
      </c>
      <c r="Z41" s="235">
        <f aca="true" t="shared" si="41" ref="Z41:Z48">Q41</f>
        <v>482</v>
      </c>
      <c r="AA41" s="236">
        <f aca="true" t="shared" si="42" ref="AA41:AA48">X41*1000000+Z41</f>
        <v>3000482</v>
      </c>
    </row>
    <row r="42" spans="1:27" ht="14.25" customHeight="1">
      <c r="A42" s="493"/>
      <c r="B42" s="406" t="str">
        <f>IF('登録'!AG39=0,"",'登録'!AG39)</f>
        <v>長田 智紀</v>
      </c>
      <c r="C42" s="33">
        <f>'登録'!I21</f>
        <v>120</v>
      </c>
      <c r="D42" s="171">
        <f>IF('結果入力表'!G10="","",'結果入力表'!G10)</f>
        <v>30</v>
      </c>
      <c r="E42" s="172" t="str">
        <f>IF('結果入力表'!G38="","",'結果入力表'!G38)</f>
        <v>w</v>
      </c>
      <c r="F42" s="172">
        <f>IF('結果入力表'!F52="","",'結果入力表'!F52)</f>
        <v>12</v>
      </c>
      <c r="G42" s="172">
        <f>IF('結果入力表'!F66="","",'結果入力表'!F66)</f>
        <v>79</v>
      </c>
      <c r="H42" s="176" t="str">
        <f>IF('結果入力表'!G87="","",'結果入力表'!G87)</f>
        <v>w</v>
      </c>
      <c r="I42" s="442" t="str">
        <f>IF('結果入力表'!G118="","",'結果入力表'!G118)</f>
        <v>w</v>
      </c>
      <c r="J42" s="374">
        <f>IF('結果入力表'!G146="","",'結果入力表'!G146)</f>
        <v>62</v>
      </c>
      <c r="K42" s="374">
        <f>IF('結果入力表'!F160="","",'結果入力表'!F160)</f>
        <v>39</v>
      </c>
      <c r="L42" s="374" t="str">
        <f>IF('結果入力表'!F174="","",'結果入力表'!F174)</f>
        <v>w</v>
      </c>
      <c r="M42" s="443">
        <f>IF('結果入力表'!G195="","",'結果入力表'!G195)</f>
        <v>33</v>
      </c>
      <c r="N42" s="397">
        <f aca="true" t="shared" si="43" ref="N42:N47">IF(COUNTBLANK(D42:M42)=10,"",COUNTIF(D42:M42,"w"))</f>
        <v>4</v>
      </c>
      <c r="O42" s="9">
        <f aca="true" t="shared" si="44" ref="O42:O47">IF(COUNTBLANK(D42:M42)=10,"",10-COUNTBLANK(D42:M42)-N42)</f>
        <v>6</v>
      </c>
      <c r="P42" s="86">
        <f aca="true" t="shared" si="45" ref="P42:P47">IF(N42="","",N42*C42+SUM(D42:M42))</f>
        <v>735</v>
      </c>
      <c r="Q42" s="86">
        <f>IF(N42="","",IF(C42='登録'!$I$8,P42,N42*'登録'!$I$8+SUM(D42:M42)/'★個人成績表★'!C42*'登録'!$I$8))</f>
        <v>735</v>
      </c>
      <c r="R42" s="390">
        <f t="shared" si="37"/>
      </c>
      <c r="S42" s="398">
        <f t="shared" si="38"/>
        <v>735</v>
      </c>
      <c r="T42" s="29">
        <f>IF(COUNTBLANK(D42:M42)=10,"",RANK(AA42,$AA41:$AA47))</f>
        <v>4</v>
      </c>
      <c r="U42" s="385">
        <f>IF('★対戦リーグ表★'!BS43=0,"",'★対戦リーグ表★'!BS43)</f>
      </c>
      <c r="W42" s="218" t="str">
        <f t="shared" si="12"/>
        <v>長田 智紀</v>
      </c>
      <c r="X42" s="219">
        <f t="shared" si="39"/>
        <v>4</v>
      </c>
      <c r="Y42" s="220">
        <f t="shared" si="40"/>
        <v>6</v>
      </c>
      <c r="Z42" s="221">
        <f t="shared" si="41"/>
        <v>735</v>
      </c>
      <c r="AA42" s="222">
        <f t="shared" si="42"/>
        <v>4000735</v>
      </c>
    </row>
    <row r="43" spans="1:27" ht="14.25" customHeight="1">
      <c r="A43" s="493"/>
      <c r="B43" s="406" t="str">
        <f>IF('登録'!AG40=0,"",'登録'!AG40)</f>
        <v>大橋 義治</v>
      </c>
      <c r="C43" s="33">
        <f>'登録'!L21</f>
        <v>120</v>
      </c>
      <c r="D43" s="171" t="str">
        <f>IF('結果入力表'!G11="","",'結果入力表'!G11)</f>
        <v>w</v>
      </c>
      <c r="E43" s="172" t="str">
        <f>IF('結果入力表'!G39="","",'結果入力表'!G39)</f>
        <v>w</v>
      </c>
      <c r="F43" s="172">
        <f>IF('結果入力表'!F53="","",'結果入力表'!F53)</f>
        <v>0</v>
      </c>
      <c r="G43" s="172">
        <f>IF('結果入力表'!F67="","",'結果入力表'!F67)</f>
        <v>71</v>
      </c>
      <c r="H43" s="176">
        <f>IF('結果入力表'!G88="","",'結果入力表'!G88)</f>
        <v>26</v>
      </c>
      <c r="I43" s="442" t="str">
        <f>IF('結果入力表'!G119="","",'結果入力表'!G119)</f>
        <v>w</v>
      </c>
      <c r="J43" s="374" t="str">
        <f>IF('結果入力表'!G147="","",'結果入力表'!G147)</f>
        <v>w</v>
      </c>
      <c r="K43" s="374" t="str">
        <f>IF('結果入力表'!F161="","",'結果入力表'!F161)</f>
        <v>w</v>
      </c>
      <c r="L43" s="374" t="str">
        <f>IF('結果入力表'!F175="","",'結果入力表'!F175)</f>
        <v>w</v>
      </c>
      <c r="M43" s="443" t="str">
        <f>IF('結果入力表'!G196="","",'結果入力表'!G196)</f>
        <v>w</v>
      </c>
      <c r="N43" s="399">
        <f t="shared" si="43"/>
        <v>7</v>
      </c>
      <c r="O43" s="10">
        <f t="shared" si="44"/>
        <v>3</v>
      </c>
      <c r="P43" s="86">
        <f t="shared" si="45"/>
        <v>937</v>
      </c>
      <c r="Q43" s="86">
        <f>IF(N43="","",IF(C43='登録'!$I$8,P43,N43*'登録'!$I$8+SUM(D43:M43)/'★個人成績表★'!C43*'登録'!$I$8))</f>
        <v>937</v>
      </c>
      <c r="R43" s="390">
        <f t="shared" si="37"/>
      </c>
      <c r="S43" s="398">
        <f t="shared" si="38"/>
        <v>937</v>
      </c>
      <c r="T43" s="27">
        <f>IF(COUNTBLANK(D43:M43)=10,"",RANK(AA43,$AA41:$AA47))</f>
        <v>2</v>
      </c>
      <c r="U43" s="385">
        <f>IF('★対戦リーグ表★'!BS44=0,"",'★対戦リーグ表★'!BS44)</f>
      </c>
      <c r="W43" s="218" t="str">
        <f t="shared" si="12"/>
        <v>大橋 義治</v>
      </c>
      <c r="X43" s="219">
        <f t="shared" si="39"/>
        <v>7</v>
      </c>
      <c r="Y43" s="220">
        <f t="shared" si="40"/>
        <v>3</v>
      </c>
      <c r="Z43" s="221">
        <f t="shared" si="41"/>
        <v>937</v>
      </c>
      <c r="AA43" s="222">
        <f t="shared" si="42"/>
        <v>7000937</v>
      </c>
    </row>
    <row r="44" spans="1:27" ht="14.25" customHeight="1">
      <c r="A44" s="493"/>
      <c r="B44" s="406" t="str">
        <f>IF('登録'!AG41=0,"",'登録'!AG41)</f>
        <v>山中 康寛</v>
      </c>
      <c r="C44" s="33">
        <f>'登録'!O21</f>
        <v>120</v>
      </c>
      <c r="D44" s="171">
        <f>IF('結果入力表'!G12="","",'結果入力表'!G12)</f>
        <v>0</v>
      </c>
      <c r="E44" s="172" t="str">
        <f>IF('結果入力表'!G40="","",'結果入力表'!G40)</f>
        <v>w</v>
      </c>
      <c r="F44" s="172">
        <f>IF('結果入力表'!F54="","",'結果入力表'!F54)</f>
        <v>56</v>
      </c>
      <c r="G44" s="172" t="str">
        <f>IF('結果入力表'!F68="","",'結果入力表'!F68)</f>
        <v>w</v>
      </c>
      <c r="H44" s="176" t="str">
        <f>IF('結果入力表'!G89="","",'結果入力表'!G89)</f>
        <v>w</v>
      </c>
      <c r="I44" s="442" t="str">
        <f>IF('結果入力表'!G120="","",'結果入力表'!G120)</f>
        <v>w</v>
      </c>
      <c r="J44" s="374" t="str">
        <f>IF('結果入力表'!G148="","",'結果入力表'!G148)</f>
        <v>w</v>
      </c>
      <c r="K44" s="374" t="str">
        <f>IF('結果入力表'!F162="","",'結果入力表'!F162)</f>
        <v>w</v>
      </c>
      <c r="L44" s="374" t="str">
        <f>IF('結果入力表'!F176="","",'結果入力表'!F176)</f>
        <v>w</v>
      </c>
      <c r="M44" s="443" t="str">
        <f>IF('結果入力表'!G197="","",'結果入力表'!G197)</f>
        <v>w</v>
      </c>
      <c r="N44" s="399">
        <f t="shared" si="43"/>
        <v>8</v>
      </c>
      <c r="O44" s="10">
        <f t="shared" si="44"/>
        <v>2</v>
      </c>
      <c r="P44" s="86">
        <f t="shared" si="45"/>
        <v>1016</v>
      </c>
      <c r="Q44" s="86">
        <f>IF(N44="","",IF(C44='登録'!$I$8,P44,N44*'登録'!$I$8+SUM(D44:M44)/'★個人成績表★'!C44*'登録'!$I$8))</f>
        <v>1016</v>
      </c>
      <c r="R44" s="390">
        <f t="shared" si="37"/>
      </c>
      <c r="S44" s="398">
        <f t="shared" si="38"/>
        <v>1016</v>
      </c>
      <c r="T44" s="29">
        <f>IF(COUNTBLANK(D44:M44)=10,"",RANK(AA44,$AA41:$AA47))</f>
        <v>1</v>
      </c>
      <c r="U44" s="385">
        <f>IF('★対戦リーグ表★'!BS45=0,"",'★対戦リーグ表★'!BS45)</f>
      </c>
      <c r="W44" s="218" t="str">
        <f t="shared" si="12"/>
        <v>山中 康寛</v>
      </c>
      <c r="X44" s="219">
        <f t="shared" si="39"/>
        <v>8</v>
      </c>
      <c r="Y44" s="220">
        <f t="shared" si="40"/>
        <v>2</v>
      </c>
      <c r="Z44" s="221">
        <f t="shared" si="41"/>
        <v>1016</v>
      </c>
      <c r="AA44" s="222">
        <f t="shared" si="42"/>
        <v>8001016</v>
      </c>
    </row>
    <row r="45" spans="1:27" ht="14.25" customHeight="1">
      <c r="A45" s="493"/>
      <c r="B45" s="406" t="str">
        <f>IF('登録'!AG42=0,"",'登録'!AG42)</f>
        <v>高島 太一</v>
      </c>
      <c r="C45" s="33">
        <f>'登録'!R21</f>
        <v>120</v>
      </c>
      <c r="D45" s="171" t="str">
        <f>IF('結果入力表'!G13="","",'結果入力表'!G13)</f>
        <v>w</v>
      </c>
      <c r="E45" s="172">
        <f>IF('結果入力表'!G41="","",'結果入力表'!G41)</f>
        <v>96</v>
      </c>
      <c r="F45" s="172">
        <f>IF('結果入力表'!F55="","",'結果入力表'!F55)</f>
        <v>81</v>
      </c>
      <c r="G45" s="172">
        <f>IF('結果入力表'!F69="","",'結果入力表'!F69)</f>
        <v>95</v>
      </c>
      <c r="H45" s="176">
        <f>IF('結果入力表'!G90="","",'結果入力表'!G90)</f>
        <v>25</v>
      </c>
      <c r="I45" s="179">
        <f>IF('結果入力表'!G114="","",'結果入力表'!G114)</f>
        <v>3</v>
      </c>
      <c r="J45" s="172">
        <f>IF('結果入力表'!G142="","",'結果入力表'!G142)</f>
        <v>15</v>
      </c>
      <c r="K45" s="172" t="str">
        <f>IF('結果入力表'!F156="","",'結果入力表'!F156)</f>
        <v>w</v>
      </c>
      <c r="L45" s="172" t="str">
        <f>IF('結果入力表'!F170="","",'結果入力表'!F170)</f>
        <v>w</v>
      </c>
      <c r="M45" s="176">
        <f>IF('結果入力表'!G191="","",'結果入力表'!G191)</f>
        <v>84</v>
      </c>
      <c r="N45" s="399">
        <f t="shared" si="43"/>
        <v>3</v>
      </c>
      <c r="O45" s="10">
        <f t="shared" si="44"/>
        <v>7</v>
      </c>
      <c r="P45" s="86">
        <f t="shared" si="45"/>
        <v>759</v>
      </c>
      <c r="Q45" s="86">
        <f>IF(N45="","",IF(C45='登録'!$I$8,P45,N45*'登録'!$I$8+SUM(D45:M45)/'★個人成績表★'!C45*'登録'!$I$8))</f>
        <v>759</v>
      </c>
      <c r="R45" s="390">
        <f t="shared" si="37"/>
      </c>
      <c r="S45" s="398">
        <f t="shared" si="38"/>
        <v>759</v>
      </c>
      <c r="T45" s="27">
        <f>IF(COUNTBLANK(D45:M45)=10,"",RANK(AA45,$AA41:$AA47))</f>
        <v>6</v>
      </c>
      <c r="U45" s="385">
        <f>IF('★対戦リーグ表★'!BS46=0,"",'★対戦リーグ表★'!BS46)</f>
      </c>
      <c r="W45" s="218" t="str">
        <f t="shared" si="12"/>
        <v>高島 太一</v>
      </c>
      <c r="X45" s="219">
        <f t="shared" si="39"/>
        <v>3</v>
      </c>
      <c r="Y45" s="220">
        <f t="shared" si="40"/>
        <v>7</v>
      </c>
      <c r="Z45" s="221">
        <f t="shared" si="41"/>
        <v>759</v>
      </c>
      <c r="AA45" s="222">
        <f t="shared" si="42"/>
        <v>3000759</v>
      </c>
    </row>
    <row r="46" spans="1:27" ht="14.25" customHeight="1">
      <c r="A46" s="493"/>
      <c r="B46" s="406" t="str">
        <f>IF('登録'!AG43=0,"",'登録'!AG43)</f>
        <v>須藤 浩章</v>
      </c>
      <c r="C46" s="33">
        <f>'登録'!U21</f>
        <v>120</v>
      </c>
      <c r="D46" s="171">
        <f>IF('結果入力表'!G14="","",'結果入力表'!G14)</f>
        <v>106</v>
      </c>
      <c r="E46" s="172">
        <f>IF('結果入力表'!G42="","",'結果入力表'!G42)</f>
        <v>0</v>
      </c>
      <c r="F46" s="172" t="str">
        <f>IF('結果入力表'!F56="","",'結果入力表'!F56)</f>
        <v>w</v>
      </c>
      <c r="G46" s="172" t="str">
        <f>IF('結果入力表'!F70="","",'結果入力表'!F70)</f>
        <v>w</v>
      </c>
      <c r="H46" s="176">
        <f>IF('結果入力表'!G91="","",'結果入力表'!G91)</f>
        <v>76</v>
      </c>
      <c r="I46" s="179">
        <f>IF('結果入力表'!G115="","",'結果入力表'!G115)</f>
        <v>65</v>
      </c>
      <c r="J46" s="172">
        <f>IF('結果入力表'!G143="","",'結果入力表'!G143)</f>
        <v>65</v>
      </c>
      <c r="K46" s="172">
        <f>IF('結果入力表'!F157="","",'結果入力表'!F157)</f>
        <v>84</v>
      </c>
      <c r="L46" s="172" t="str">
        <f>IF('結果入力表'!F171="","",'結果入力表'!F171)</f>
        <v>w</v>
      </c>
      <c r="M46" s="176">
        <f>IF('結果入力表'!G192="","",'結果入力表'!G192)</f>
        <v>100</v>
      </c>
      <c r="N46" s="399">
        <f t="shared" si="43"/>
        <v>3</v>
      </c>
      <c r="O46" s="10">
        <f t="shared" si="44"/>
        <v>7</v>
      </c>
      <c r="P46" s="86">
        <f t="shared" si="45"/>
        <v>856</v>
      </c>
      <c r="Q46" s="86">
        <f>IF(N46="","",IF(C46='登録'!$I$8,P46,N46*'登録'!$I$8+SUM(D46:M46)/'★個人成績表★'!C46*'登録'!$I$8))</f>
        <v>856</v>
      </c>
      <c r="R46" s="390">
        <f t="shared" si="37"/>
      </c>
      <c r="S46" s="398">
        <f t="shared" si="38"/>
        <v>856</v>
      </c>
      <c r="T46" s="29">
        <f>IF(COUNTBLANK(D46:M46)=10,"",RANK(AA46,$AA41:$AA47))</f>
        <v>5</v>
      </c>
      <c r="U46" s="385">
        <f>IF('★対戦リーグ表★'!BS47=0,"",'★対戦リーグ表★'!BS47)</f>
      </c>
      <c r="W46" s="218" t="str">
        <f t="shared" si="12"/>
        <v>須藤 浩章</v>
      </c>
      <c r="X46" s="219">
        <f t="shared" si="39"/>
        <v>3</v>
      </c>
      <c r="Y46" s="220">
        <f t="shared" si="40"/>
        <v>7</v>
      </c>
      <c r="Z46" s="221">
        <f t="shared" si="41"/>
        <v>856</v>
      </c>
      <c r="AA46" s="222">
        <f t="shared" si="42"/>
        <v>3000856</v>
      </c>
    </row>
    <row r="47" spans="1:27" ht="14.25" customHeight="1" thickBot="1">
      <c r="A47" s="493"/>
      <c r="B47" s="407" t="str">
        <f>IF('登録'!AG44=0,"",'登録'!AG44)</f>
        <v>酒井 美希</v>
      </c>
      <c r="C47" s="193">
        <f>'登録'!X21</f>
        <v>100</v>
      </c>
      <c r="D47" s="194" t="str">
        <f>IF('結果入力表'!G15="","",'結果入力表'!G15)</f>
        <v>w</v>
      </c>
      <c r="E47" s="195">
        <f>IF('結果入力表'!G43="","",'結果入力表'!G43)</f>
        <v>68</v>
      </c>
      <c r="F47" s="195" t="str">
        <f>IF('結果入力表'!F57="","",'結果入力表'!F57)</f>
        <v>w</v>
      </c>
      <c r="G47" s="195">
        <f>IF('結果入力表'!F71="","",'結果入力表'!F71)</f>
        <v>6</v>
      </c>
      <c r="H47" s="196" t="str">
        <f>IF('結果入力表'!G92="","",'結果入力表'!G92)</f>
        <v>w</v>
      </c>
      <c r="I47" s="197">
        <f>IF('結果入力表'!G116="","",'結果入力表'!G116)</f>
        <v>46</v>
      </c>
      <c r="J47" s="195">
        <f>IF('結果入力表'!G144="","",'結果入力表'!G144)</f>
        <v>63</v>
      </c>
      <c r="K47" s="195" t="str">
        <f>IF('結果入力表'!F158="","",'結果入力表'!F158)</f>
        <v>w</v>
      </c>
      <c r="L47" s="195">
        <f>IF('結果入力表'!F172="","",'結果入力表'!F172)</f>
        <v>43</v>
      </c>
      <c r="M47" s="196">
        <f>IF('結果入力表'!G193="","",'結果入力表'!G193)</f>
        <v>58</v>
      </c>
      <c r="N47" s="400">
        <f t="shared" si="43"/>
        <v>4</v>
      </c>
      <c r="O47" s="198">
        <f t="shared" si="44"/>
        <v>6</v>
      </c>
      <c r="P47" s="199">
        <f t="shared" si="45"/>
        <v>684</v>
      </c>
      <c r="Q47" s="199">
        <f>IF(N47="","",IF(C47='登録'!$I$8,P47,N47*'登録'!$I$8+SUM(D47:M47)/'★個人成績表★'!C47*'登録'!$I$8))</f>
        <v>820.8</v>
      </c>
      <c r="R47" s="391" t="str">
        <f t="shared" si="37"/>
        <v>*</v>
      </c>
      <c r="S47" s="401">
        <f t="shared" si="38"/>
        <v>820.8</v>
      </c>
      <c r="T47" s="192">
        <f>IF(COUNTBLANK(D47:M47)=10,"",RANK(AA47,$AA41:$AA47))</f>
        <v>3</v>
      </c>
      <c r="U47" s="386">
        <f>IF('★対戦リーグ表★'!BS48=0,"",'★対戦リーグ表★'!BS48)</f>
      </c>
      <c r="W47" s="237" t="str">
        <f t="shared" si="12"/>
        <v>酒井 美希</v>
      </c>
      <c r="X47" s="238">
        <f t="shared" si="39"/>
        <v>4</v>
      </c>
      <c r="Y47" s="239">
        <f t="shared" si="40"/>
        <v>6</v>
      </c>
      <c r="Z47" s="240">
        <f t="shared" si="41"/>
        <v>820.8</v>
      </c>
      <c r="AA47" s="241">
        <f t="shared" si="42"/>
        <v>4000820.8</v>
      </c>
    </row>
    <row r="48" spans="1:27" ht="14.25" customHeight="1" thickBot="1" thickTop="1">
      <c r="A48" s="494"/>
      <c r="B48" s="211" t="s">
        <v>85</v>
      </c>
      <c r="C48" s="34"/>
      <c r="D48" s="173"/>
      <c r="E48" s="174"/>
      <c r="F48" s="174"/>
      <c r="G48" s="174"/>
      <c r="H48" s="177"/>
      <c r="I48" s="180"/>
      <c r="J48" s="174"/>
      <c r="K48" s="174"/>
      <c r="L48" s="174"/>
      <c r="M48" s="177"/>
      <c r="N48" s="402">
        <f>IF(COUNTBLANK(N41:N47)=7,"",SUM(N41:N47))</f>
        <v>32</v>
      </c>
      <c r="O48" s="11">
        <f>IF(COUNTBLANK(O41:O47)=7,"",SUM(O41:O47))</f>
        <v>38</v>
      </c>
      <c r="P48" s="87">
        <f>IF(COUNTBLANK(P41:P47)=7,"",SUM(P41:P47))</f>
        <v>5469</v>
      </c>
      <c r="Q48" s="87">
        <f>IF(COUNTBLANK(Q41:Q47)=7,"",SUM(Q41:Q47))</f>
        <v>5605.8</v>
      </c>
      <c r="R48" s="392" t="str">
        <f t="shared" si="37"/>
        <v>*</v>
      </c>
      <c r="S48" s="403">
        <f>IF(COUNTBLANK(S41:S47)=7,"",IF(Q48=P48,P48,Q48))</f>
        <v>5605.8</v>
      </c>
      <c r="T48" s="12"/>
      <c r="U48" s="387"/>
      <c r="W48" s="227"/>
      <c r="X48" s="228">
        <f t="shared" si="39"/>
        <v>32</v>
      </c>
      <c r="Y48" s="229">
        <f t="shared" si="40"/>
        <v>38</v>
      </c>
      <c r="Z48" s="230">
        <f t="shared" si="41"/>
        <v>5605.8</v>
      </c>
      <c r="AA48" s="231">
        <f t="shared" si="42"/>
        <v>32005605.8</v>
      </c>
    </row>
    <row r="49" spans="1:27" ht="14.25" customHeight="1" thickBot="1">
      <c r="A49" s="492" t="str">
        <f>IF('登録'!B22="","",'登録'!B22)</f>
        <v>WRC</v>
      </c>
      <c r="B49" s="210" t="str">
        <f>B31</f>
        <v>Player＼VS</v>
      </c>
      <c r="C49" s="31" t="str">
        <f>C31</f>
        <v>持点</v>
      </c>
      <c r="D49" s="212" t="str">
        <f>IF('登録'!$Q$5=5,"",'登録'!BI8)</f>
        <v>KRC</v>
      </c>
      <c r="E49" s="213" t="str">
        <f>IF('登録'!$Q$5=5,"",'登録'!BJ8)</f>
        <v>NRC</v>
      </c>
      <c r="F49" s="213" t="str">
        <f>IF('登録'!$Q$5=5,"",'登録'!BK8)</f>
        <v>HRC</v>
      </c>
      <c r="G49" s="213" t="str">
        <f>IF('登録'!$Q$5=5,"",'登録'!BL8)</f>
        <v>SBC</v>
      </c>
      <c r="H49" s="214" t="str">
        <f>IF('登録'!$Q$5=5,"",'登録'!BM8)</f>
        <v>ORC</v>
      </c>
      <c r="I49" s="215" t="str">
        <f>D49</f>
        <v>KRC</v>
      </c>
      <c r="J49" s="213" t="str">
        <f>E49</f>
        <v>NRC</v>
      </c>
      <c r="K49" s="213" t="str">
        <f>F49</f>
        <v>HRC</v>
      </c>
      <c r="L49" s="213" t="str">
        <f>G49</f>
        <v>SBC</v>
      </c>
      <c r="M49" s="214" t="str">
        <f>H49</f>
        <v>ORC</v>
      </c>
      <c r="N49" s="394" t="s">
        <v>79</v>
      </c>
      <c r="O49" s="207" t="s">
        <v>80</v>
      </c>
      <c r="P49" s="208" t="s">
        <v>81</v>
      </c>
      <c r="Q49" s="208" t="s">
        <v>82</v>
      </c>
      <c r="R49" s="393" t="s">
        <v>28</v>
      </c>
      <c r="S49" s="404"/>
      <c r="T49" s="209" t="s">
        <v>78</v>
      </c>
      <c r="U49" s="383" t="s">
        <v>87</v>
      </c>
      <c r="W49" s="223" t="s">
        <v>89</v>
      </c>
      <c r="X49" s="224" t="s">
        <v>16</v>
      </c>
      <c r="Y49" s="225" t="s">
        <v>17</v>
      </c>
      <c r="Z49" s="225" t="s">
        <v>18</v>
      </c>
      <c r="AA49" s="226" t="s">
        <v>27</v>
      </c>
    </row>
    <row r="50" spans="1:27" ht="14.25" customHeight="1" thickTop="1">
      <c r="A50" s="493"/>
      <c r="B50" s="405" t="str">
        <f>IF('登録'!AG47=0,"",'登録'!AG47)</f>
        <v>末岡　修</v>
      </c>
      <c r="C50" s="32">
        <f>IF('登録'!F22="","",'登録'!F22)</f>
        <v>120</v>
      </c>
      <c r="D50" s="169">
        <f>IF('結果入力表'!G16="","",'結果入力表'!G16)</f>
        <v>0</v>
      </c>
      <c r="E50" s="170">
        <f>IF('結果入力表'!F30="","",'結果入力表'!F30)</f>
        <v>85</v>
      </c>
      <c r="F50" s="170">
        <f>IF('結果入力表'!F44="","",'結果入力表'!F44)</f>
        <v>28</v>
      </c>
      <c r="G50" s="170" t="str">
        <f>IF('結果入力表'!G65="","",'結果入力表'!G65)</f>
        <v>w</v>
      </c>
      <c r="H50" s="175">
        <f>IF('結果入力表'!G93="","",'結果入力表'!G93)</f>
        <v>0</v>
      </c>
      <c r="I50" s="439">
        <f>IF('結果入力表'!G123="","",'結果入力表'!G123)</f>
        <v>9</v>
      </c>
      <c r="J50" s="373" t="str">
        <f>IF('結果入力表'!F137="","",'結果入力表'!F137)</f>
        <v>w</v>
      </c>
      <c r="K50" s="373" t="str">
        <f>IF('結果入力表'!F151="","",'結果入力表'!F151)</f>
        <v>w</v>
      </c>
      <c r="L50" s="373" t="str">
        <f>IF('結果入力表'!G172="","",'結果入力表'!G172)</f>
        <v>w</v>
      </c>
      <c r="M50" s="440" t="str">
        <f>IF('結果入力表'!G200="","",'結果入力表'!G200)</f>
        <v>w</v>
      </c>
      <c r="N50" s="395">
        <f>IF(COUNTBLANK(D50:M50)=10,"",COUNTIF(D50:M50,"w"))</f>
        <v>5</v>
      </c>
      <c r="O50" s="8">
        <f>IF(COUNTBLANK(D50:M50)=10,"",10-COUNTBLANK(D50:M50)-N50)</f>
        <v>5</v>
      </c>
      <c r="P50" s="89">
        <f>IF(N50="","",N50*C50+SUM(D50:M50))</f>
        <v>722</v>
      </c>
      <c r="Q50" s="89">
        <f>IF(N50="","",IF(C50='登録'!$I$8,P50,N50*'登録'!$I$8+SUM(D50:M50)/'★個人成績表★'!C50*'登録'!$I$8))</f>
        <v>722</v>
      </c>
      <c r="R50" s="389">
        <f t="shared" si="37"/>
      </c>
      <c r="S50" s="396">
        <f aca="true" t="shared" si="46" ref="S50:S56">IF(COUNTBLANK(D50:M50)=10,"",Q50)</f>
        <v>722</v>
      </c>
      <c r="T50" s="28">
        <f>IF(COUNTBLANK(D50:M50)=10,"",RANK(AA50,$AA50:$AA56))</f>
        <v>4</v>
      </c>
      <c r="U50" s="384">
        <f>IF('★対戦リーグ表★'!BS51=0,"",'★対戦リーグ表★'!BS51)</f>
      </c>
      <c r="W50" s="232" t="str">
        <f>B50</f>
        <v>末岡　修</v>
      </c>
      <c r="X50" s="233">
        <f aca="true" t="shared" si="47" ref="X50:X57">N50</f>
        <v>5</v>
      </c>
      <c r="Y50" s="234">
        <f aca="true" t="shared" si="48" ref="Y50:Y57">O50</f>
        <v>5</v>
      </c>
      <c r="Z50" s="235">
        <f aca="true" t="shared" si="49" ref="Z50:Z57">Q50</f>
        <v>722</v>
      </c>
      <c r="AA50" s="236">
        <f aca="true" t="shared" si="50" ref="AA50:AA57">X50*1000000+Z50</f>
        <v>5000722</v>
      </c>
    </row>
    <row r="51" spans="1:27" ht="14.25" customHeight="1">
      <c r="A51" s="493"/>
      <c r="B51" s="406" t="str">
        <f>IF('登録'!AG48=0,"",'登録'!AG48)</f>
        <v>杉本 博章</v>
      </c>
      <c r="C51" s="33">
        <f>IF('登録'!I22="","",'登録'!I22)</f>
        <v>120</v>
      </c>
      <c r="D51" s="171">
        <f>IF('結果入力表'!G17="","",'結果入力表'!G17)</f>
        <v>67</v>
      </c>
      <c r="E51" s="172" t="str">
        <f>IF('結果入力表'!F31="","",'結果入力表'!F31)</f>
        <v>w</v>
      </c>
      <c r="F51" s="172" t="str">
        <f>IF('結果入力表'!F45="","",'結果入力表'!F45)</f>
        <v>w</v>
      </c>
      <c r="G51" s="172" t="str">
        <f>IF('結果入力表'!G66="","",'結果入力表'!G66)</f>
        <v>w</v>
      </c>
      <c r="H51" s="176" t="str">
        <f>IF('結果入力表'!G94="","",'結果入力表'!G94)</f>
        <v>w</v>
      </c>
      <c r="I51" s="442">
        <f>IF('結果入力表'!G124="","",'結果入力表'!G124)</f>
        <v>108</v>
      </c>
      <c r="J51" s="374" t="str">
        <f>IF('結果入力表'!F138="","",'結果入力表'!F138)</f>
        <v>w</v>
      </c>
      <c r="K51" s="374" t="str">
        <f>IF('結果入力表'!F152="","",'結果入力表'!F152)</f>
        <v>w</v>
      </c>
      <c r="L51" s="374" t="str">
        <f>IF('結果入力表'!G173="","",'結果入力表'!G173)</f>
        <v>w</v>
      </c>
      <c r="M51" s="443">
        <f>IF('結果入力表'!G201="","",'結果入力表'!G201)</f>
        <v>9</v>
      </c>
      <c r="N51" s="397">
        <f aca="true" t="shared" si="51" ref="N51:N56">IF(COUNTBLANK(D51:M51)=10,"",COUNTIF(D51:M51,"w"))</f>
        <v>7</v>
      </c>
      <c r="O51" s="9">
        <f aca="true" t="shared" si="52" ref="O51:O56">IF(COUNTBLANK(D51:M51)=10,"",10-COUNTBLANK(D51:M51)-N51)</f>
        <v>3</v>
      </c>
      <c r="P51" s="86">
        <f aca="true" t="shared" si="53" ref="P51:P56">IF(N51="","",N51*C51+SUM(D51:M51))</f>
        <v>1024</v>
      </c>
      <c r="Q51" s="86">
        <f>IF(N51="","",IF(C51='登録'!$I$8,P51,N51*'登録'!$I$8+SUM(D51:M51)/'★個人成績表★'!C51*'登録'!$I$8))</f>
        <v>1024</v>
      </c>
      <c r="R51" s="390">
        <f t="shared" si="37"/>
      </c>
      <c r="S51" s="398">
        <f t="shared" si="46"/>
        <v>1024</v>
      </c>
      <c r="T51" s="29">
        <f>IF(COUNTBLANK(D51:M51)=10,"",RANK(AA51,$AA50:$AA56))</f>
        <v>1</v>
      </c>
      <c r="U51" s="385">
        <f>IF('★対戦リーグ表★'!BS52=0,"",'★対戦リーグ表★'!BS52)</f>
      </c>
      <c r="W51" s="218" t="str">
        <f t="shared" si="12"/>
        <v>杉本 博章</v>
      </c>
      <c r="X51" s="219">
        <f t="shared" si="47"/>
        <v>7</v>
      </c>
      <c r="Y51" s="220">
        <f t="shared" si="48"/>
        <v>3</v>
      </c>
      <c r="Z51" s="221">
        <f t="shared" si="49"/>
        <v>1024</v>
      </c>
      <c r="AA51" s="222">
        <f t="shared" si="50"/>
        <v>7001024</v>
      </c>
    </row>
    <row r="52" spans="1:27" ht="14.25" customHeight="1">
      <c r="A52" s="493"/>
      <c r="B52" s="406" t="str">
        <f>IF('登録'!AG49=0,"",'登録'!AG49)</f>
        <v>丹次 力良</v>
      </c>
      <c r="C52" s="33">
        <f>IF('登録'!L22="","",'登録'!L22)</f>
        <v>120</v>
      </c>
      <c r="D52" s="171">
        <f>IF('結果入力表'!G18="","",'結果入力表'!G18)</f>
        <v>10</v>
      </c>
      <c r="E52" s="172">
        <f>IF('結果入力表'!F32="","",'結果入力表'!F32)</f>
        <v>68</v>
      </c>
      <c r="F52" s="172">
        <f>IF('結果入力表'!F46="","",'結果入力表'!F46)</f>
        <v>30</v>
      </c>
      <c r="G52" s="172" t="str">
        <f>IF('結果入力表'!G67="","",'結果入力表'!G67)</f>
        <v>w</v>
      </c>
      <c r="H52" s="176">
        <f>IF('結果入力表'!G95="","",'結果入力表'!G95)</f>
        <v>57</v>
      </c>
      <c r="I52" s="442" t="str">
        <f>IF('結果入力表'!G125="","",'結果入力表'!G125)</f>
        <v>w</v>
      </c>
      <c r="J52" s="374" t="str">
        <f>IF('結果入力表'!F139="","",'結果入力表'!F139)</f>
        <v>w</v>
      </c>
      <c r="K52" s="374" t="str">
        <f>IF('結果入力表'!F153="","",'結果入力表'!F153)</f>
        <v>w</v>
      </c>
      <c r="L52" s="374">
        <f>IF('結果入力表'!G174="","",'結果入力表'!G174)</f>
        <v>54</v>
      </c>
      <c r="M52" s="443" t="str">
        <f>IF('結果入力表'!G202="","",'結果入力表'!G202)</f>
        <v>w</v>
      </c>
      <c r="N52" s="399">
        <f t="shared" si="51"/>
        <v>5</v>
      </c>
      <c r="O52" s="10">
        <f t="shared" si="52"/>
        <v>5</v>
      </c>
      <c r="P52" s="86">
        <f t="shared" si="53"/>
        <v>819</v>
      </c>
      <c r="Q52" s="86">
        <f>IF(N52="","",IF(C52='登録'!$I$8,P52,N52*'登録'!$I$8+SUM(D52:M52)/'★個人成績表★'!C52*'登録'!$I$8))</f>
        <v>819</v>
      </c>
      <c r="R52" s="390">
        <f t="shared" si="37"/>
      </c>
      <c r="S52" s="398">
        <f t="shared" si="46"/>
        <v>819</v>
      </c>
      <c r="T52" s="27">
        <f>IF(COUNTBLANK(D52:M52)=10,"",RANK(AA52,$AA50:$AA56))</f>
        <v>3</v>
      </c>
      <c r="U52" s="385">
        <f>IF('★対戦リーグ表★'!BS53=0,"",'★対戦リーグ表★'!BS53)</f>
      </c>
      <c r="W52" s="218" t="str">
        <f t="shared" si="12"/>
        <v>丹次 力良</v>
      </c>
      <c r="X52" s="219">
        <f t="shared" si="47"/>
        <v>5</v>
      </c>
      <c r="Y52" s="220">
        <f t="shared" si="48"/>
        <v>5</v>
      </c>
      <c r="Z52" s="221">
        <f t="shared" si="49"/>
        <v>819</v>
      </c>
      <c r="AA52" s="222">
        <f t="shared" si="50"/>
        <v>5000819</v>
      </c>
    </row>
    <row r="53" spans="1:27" ht="14.25" customHeight="1">
      <c r="A53" s="493"/>
      <c r="B53" s="406" t="str">
        <f>IF('登録'!AG50=0,"",'登録'!AG50)</f>
        <v>芝先 泰生</v>
      </c>
      <c r="C53" s="33">
        <f>IF('登録'!O22="","",'登録'!O22)</f>
        <v>120</v>
      </c>
      <c r="D53" s="171" t="str">
        <f>IF('結果入力表'!G19="","",'結果入力表'!G19)</f>
        <v>w</v>
      </c>
      <c r="E53" s="172">
        <f>IF('結果入力表'!F33="","",'結果入力表'!F33)</f>
        <v>3</v>
      </c>
      <c r="F53" s="172" t="str">
        <f>IF('結果入力表'!F47="","",'結果入力表'!F47)</f>
        <v>w</v>
      </c>
      <c r="G53" s="172">
        <f>IF('結果入力表'!G68="","",'結果入力表'!G68)</f>
        <v>108</v>
      </c>
      <c r="H53" s="176">
        <f>IF('結果入力表'!G96="","",'結果入力表'!G96)</f>
        <v>104</v>
      </c>
      <c r="I53" s="442">
        <f>IF('結果入力表'!G126="","",'結果入力表'!G126)</f>
        <v>110</v>
      </c>
      <c r="J53" s="374" t="str">
        <f>IF('結果入力表'!F140="","",'結果入力表'!F140)</f>
        <v>w</v>
      </c>
      <c r="K53" s="374">
        <f>IF('結果入力表'!F154="","",'結果入力表'!F154)</f>
        <v>60</v>
      </c>
      <c r="L53" s="374">
        <f>IF('結果入力表'!G175="","",'結果入力表'!G175)</f>
        <v>41</v>
      </c>
      <c r="M53" s="443">
        <f>IF('結果入力表'!G203="","",'結果入力表'!G203)</f>
        <v>108</v>
      </c>
      <c r="N53" s="399">
        <f t="shared" si="51"/>
        <v>3</v>
      </c>
      <c r="O53" s="10">
        <f t="shared" si="52"/>
        <v>7</v>
      </c>
      <c r="P53" s="86">
        <f t="shared" si="53"/>
        <v>894</v>
      </c>
      <c r="Q53" s="86">
        <f>IF(N53="","",IF(C53='登録'!$I$8,P53,N53*'登録'!$I$8+SUM(D53:M53)/'★個人成績表★'!C53*'登録'!$I$8))</f>
        <v>894</v>
      </c>
      <c r="R53" s="390">
        <f t="shared" si="37"/>
      </c>
      <c r="S53" s="398">
        <f t="shared" si="46"/>
        <v>894</v>
      </c>
      <c r="T53" s="29">
        <f>IF(COUNTBLANK(D53:M53)=10,"",RANK(AA53,$AA50:$AA56))</f>
        <v>6</v>
      </c>
      <c r="U53" s="385">
        <f>IF('★対戦リーグ表★'!BS54=0,"",'★対戦リーグ表★'!BS54)</f>
        <v>105</v>
      </c>
      <c r="W53" s="218" t="str">
        <f t="shared" si="12"/>
        <v>芝先 泰生</v>
      </c>
      <c r="X53" s="219">
        <f t="shared" si="47"/>
        <v>3</v>
      </c>
      <c r="Y53" s="220">
        <f t="shared" si="48"/>
        <v>7</v>
      </c>
      <c r="Z53" s="221">
        <f t="shared" si="49"/>
        <v>894</v>
      </c>
      <c r="AA53" s="222">
        <f t="shared" si="50"/>
        <v>3000894</v>
      </c>
    </row>
    <row r="54" spans="1:27" ht="14.25" customHeight="1">
      <c r="A54" s="493"/>
      <c r="B54" s="406" t="str">
        <f>IF('登録'!AG51=0,"",'登録'!AG51)</f>
        <v>岸上 賢一</v>
      </c>
      <c r="C54" s="33">
        <f>IF('登録'!R22="","",'登録'!R22)</f>
        <v>120</v>
      </c>
      <c r="D54" s="171" t="str">
        <f>IF('結果入力表'!G20="","",'結果入力表'!G20)</f>
        <v>w</v>
      </c>
      <c r="E54" s="172" t="str">
        <f>IF('結果入力表'!F34="","",'結果入力表'!F34)</f>
        <v>w</v>
      </c>
      <c r="F54" s="172">
        <f>IF('結果入力表'!F48="","",'結果入力表'!F48)</f>
        <v>76</v>
      </c>
      <c r="G54" s="172" t="str">
        <f>IF('結果入力表'!G69="","",'結果入力表'!G69)</f>
        <v>w</v>
      </c>
      <c r="H54" s="176">
        <f>IF('結果入力表'!G97="","",'結果入力表'!G97)</f>
        <v>75</v>
      </c>
      <c r="I54" s="442">
        <f>IF('結果入力表'!G127="","",'結果入力表'!G127)</f>
        <v>76</v>
      </c>
      <c r="J54" s="374">
        <f>IF('結果入力表'!F141="","",'結果入力表'!F141)</f>
        <v>78</v>
      </c>
      <c r="K54" s="374">
        <f>IF('結果入力表'!F155="","",'結果入力表'!F155)</f>
        <v>6</v>
      </c>
      <c r="L54" s="374">
        <f>IF('結果入力表'!G176="","",'結果入力表'!G176)</f>
        <v>55</v>
      </c>
      <c r="M54" s="443" t="str">
        <f>IF('結果入力表'!G204="","",'結果入力表'!G204)</f>
        <v>w</v>
      </c>
      <c r="N54" s="399">
        <f t="shared" si="51"/>
        <v>4</v>
      </c>
      <c r="O54" s="10">
        <f t="shared" si="52"/>
        <v>6</v>
      </c>
      <c r="P54" s="86">
        <f t="shared" si="53"/>
        <v>846</v>
      </c>
      <c r="Q54" s="86">
        <f>IF(N54="","",IF(C54='登録'!$I$8,P54,N54*'登録'!$I$8+SUM(D54:M54)/'★個人成績表★'!C54*'登録'!$I$8))</f>
        <v>846</v>
      </c>
      <c r="R54" s="390">
        <f t="shared" si="37"/>
      </c>
      <c r="S54" s="398">
        <f t="shared" si="46"/>
        <v>846</v>
      </c>
      <c r="T54" s="27">
        <f>IF(COUNTBLANK(D54:M54)=10,"",RANK(AA54,$AA50:$AA56))</f>
        <v>5</v>
      </c>
      <c r="U54" s="385">
        <f>IF('★対戦リーグ表★'!BS55=0,"",'★対戦リーグ表★'!BS55)</f>
        <v>104</v>
      </c>
      <c r="W54" s="218" t="str">
        <f t="shared" si="12"/>
        <v>岸上 賢一</v>
      </c>
      <c r="X54" s="219">
        <f t="shared" si="47"/>
        <v>4</v>
      </c>
      <c r="Y54" s="220">
        <f t="shared" si="48"/>
        <v>6</v>
      </c>
      <c r="Z54" s="221">
        <f t="shared" si="49"/>
        <v>846</v>
      </c>
      <c r="AA54" s="222">
        <f t="shared" si="50"/>
        <v>4000846</v>
      </c>
    </row>
    <row r="55" spans="1:27" ht="14.25" customHeight="1">
      <c r="A55" s="493"/>
      <c r="B55" s="406" t="str">
        <f>IF('登録'!AG52=0,"",'登録'!AG52)</f>
        <v>中本 雅大</v>
      </c>
      <c r="C55" s="33">
        <f>IF('登録'!U22="","",'登録'!U22)</f>
        <v>120</v>
      </c>
      <c r="D55" s="171">
        <f>IF('結果入力表'!G21="","",'結果入力表'!G21)</f>
        <v>74</v>
      </c>
      <c r="E55" s="172" t="str">
        <f>IF('結果入力表'!F35="","",'結果入力表'!F35)</f>
        <v>w</v>
      </c>
      <c r="F55" s="172" t="str">
        <f>IF('結果入力表'!F49="","",'結果入力表'!F49)</f>
        <v>w</v>
      </c>
      <c r="G55" s="172">
        <f>IF('結果入力表'!G70="","",'結果入力表'!G70)</f>
        <v>32</v>
      </c>
      <c r="H55" s="176">
        <f>IF('結果入力表'!G98="","",'結果入力表'!G98)</f>
        <v>33</v>
      </c>
      <c r="I55" s="179">
        <f>IF('結果入力表'!G121="","",'結果入力表'!G121)</f>
        <v>85</v>
      </c>
      <c r="J55" s="172">
        <f>IF('結果入力表'!F135="","",'結果入力表'!F135)</f>
        <v>107</v>
      </c>
      <c r="K55" s="172">
        <f>IF('結果入力表'!F149="","",'結果入力表'!F149)</f>
        <v>103</v>
      </c>
      <c r="L55" s="172">
        <f>IF('結果入力表'!G170="","",'結果入力表'!G170)</f>
        <v>63</v>
      </c>
      <c r="M55" s="176">
        <f>IF('結果入力表'!G198="","",'結果入力表'!G198)</f>
        <v>13</v>
      </c>
      <c r="N55" s="399">
        <f t="shared" si="51"/>
        <v>2</v>
      </c>
      <c r="O55" s="10">
        <f t="shared" si="52"/>
        <v>8</v>
      </c>
      <c r="P55" s="86">
        <f t="shared" si="53"/>
        <v>750</v>
      </c>
      <c r="Q55" s="86">
        <f>IF(N55="","",IF(C55='登録'!$I$8,P55,N55*'登録'!$I$8+SUM(D55:M55)/'★個人成績表★'!C55*'登録'!$I$8))</f>
        <v>750</v>
      </c>
      <c r="R55" s="390">
        <f t="shared" si="37"/>
      </c>
      <c r="S55" s="398">
        <f t="shared" si="46"/>
        <v>750</v>
      </c>
      <c r="T55" s="29">
        <f>IF(COUNTBLANK(D55:M55)=10,"",RANK(AA55,$AA50:$AA56))</f>
        <v>7</v>
      </c>
      <c r="U55" s="385">
        <f>IF('★対戦リーグ表★'!BS56=0,"",'★対戦リーグ表★'!BS56)</f>
      </c>
      <c r="W55" s="218" t="str">
        <f t="shared" si="12"/>
        <v>中本 雅大</v>
      </c>
      <c r="X55" s="219">
        <f t="shared" si="47"/>
        <v>2</v>
      </c>
      <c r="Y55" s="220">
        <f t="shared" si="48"/>
        <v>8</v>
      </c>
      <c r="Z55" s="221">
        <f t="shared" si="49"/>
        <v>750</v>
      </c>
      <c r="AA55" s="222">
        <f t="shared" si="50"/>
        <v>2000750</v>
      </c>
    </row>
    <row r="56" spans="1:27" ht="14.25" customHeight="1" thickBot="1">
      <c r="A56" s="493"/>
      <c r="B56" s="407" t="str">
        <f>IF('登録'!AG53=0,"",'登録'!AG53)</f>
        <v>松房ゆかり</v>
      </c>
      <c r="C56" s="193">
        <f>IF('登録'!X22="","",'登録'!X22)</f>
        <v>100</v>
      </c>
      <c r="D56" s="194">
        <f>IF('結果入力表'!G22="","",'結果入力表'!G22)</f>
        <v>50</v>
      </c>
      <c r="E56" s="195" t="str">
        <f>IF('結果入力表'!F36="","",'結果入力表'!F36)</f>
        <v>w</v>
      </c>
      <c r="F56" s="195" t="str">
        <f>IF('結果入力表'!F50="","",'結果入力表'!F50)</f>
        <v>w</v>
      </c>
      <c r="G56" s="195" t="str">
        <f>IF('結果入力表'!G71="","",'結果入力表'!G71)</f>
        <v>w</v>
      </c>
      <c r="H56" s="196">
        <f>IF('結果入力表'!G99="","",'結果入力表'!G99)</f>
        <v>10</v>
      </c>
      <c r="I56" s="197">
        <f>IF('結果入力表'!G122="","",'結果入力表'!G122)</f>
        <v>31</v>
      </c>
      <c r="J56" s="195">
        <f>IF('結果入力表'!F136="","",'結果入力表'!F136)</f>
        <v>62</v>
      </c>
      <c r="K56" s="195" t="str">
        <f>IF('結果入力表'!F150="","",'結果入力表'!F150)</f>
        <v>w</v>
      </c>
      <c r="L56" s="195">
        <f>IF('結果入力表'!G171="","",'結果入力表'!G171)</f>
        <v>60</v>
      </c>
      <c r="M56" s="196" t="str">
        <f>IF('結果入力表'!G199="","",'結果入力表'!G199)</f>
        <v>w</v>
      </c>
      <c r="N56" s="400">
        <f t="shared" si="51"/>
        <v>5</v>
      </c>
      <c r="O56" s="198">
        <f t="shared" si="52"/>
        <v>5</v>
      </c>
      <c r="P56" s="199">
        <f t="shared" si="53"/>
        <v>713</v>
      </c>
      <c r="Q56" s="199">
        <f>IF(N56="","",IF(C56='登録'!$I$8,P56,N56*'登録'!$I$8+SUM(D56:M56)/'★個人成績表★'!C56*'登録'!$I$8))</f>
        <v>855.6</v>
      </c>
      <c r="R56" s="391" t="str">
        <f t="shared" si="37"/>
        <v>*</v>
      </c>
      <c r="S56" s="401">
        <f t="shared" si="46"/>
        <v>855.6</v>
      </c>
      <c r="T56" s="192">
        <f>IF(COUNTBLANK(D56:M56)=10,"",RANK(AA56,$AA50:$AA56))</f>
        <v>2</v>
      </c>
      <c r="U56" s="386">
        <f>IF('★対戦リーグ表★'!BS57=0,"",'★対戦リーグ表★'!BS57)</f>
      </c>
      <c r="W56" s="237" t="str">
        <f t="shared" si="12"/>
        <v>松房ゆかり</v>
      </c>
      <c r="X56" s="238">
        <f t="shared" si="47"/>
        <v>5</v>
      </c>
      <c r="Y56" s="239">
        <f t="shared" si="48"/>
        <v>5</v>
      </c>
      <c r="Z56" s="240">
        <f t="shared" si="49"/>
        <v>855.6</v>
      </c>
      <c r="AA56" s="241">
        <f t="shared" si="50"/>
        <v>5000855.6</v>
      </c>
    </row>
    <row r="57" spans="1:27" ht="14.25" customHeight="1" thickBot="1" thickTop="1">
      <c r="A57" s="494"/>
      <c r="B57" s="211" t="s">
        <v>85</v>
      </c>
      <c r="C57" s="34"/>
      <c r="D57" s="173"/>
      <c r="E57" s="174"/>
      <c r="F57" s="174"/>
      <c r="G57" s="174"/>
      <c r="H57" s="177"/>
      <c r="I57" s="180"/>
      <c r="J57" s="174"/>
      <c r="K57" s="174"/>
      <c r="L57" s="174"/>
      <c r="M57" s="177"/>
      <c r="N57" s="402">
        <f>IF(COUNTBLANK(N50:N56)=7,"",SUM(N50:N56))</f>
        <v>31</v>
      </c>
      <c r="O57" s="11">
        <f>IF(COUNTBLANK(O50:O56)=7,"",SUM(O50:O56))</f>
        <v>39</v>
      </c>
      <c r="P57" s="87">
        <f>IF(COUNTBLANK(P50:P56)=7,"",SUM(P50:P56))</f>
        <v>5768</v>
      </c>
      <c r="Q57" s="87">
        <f>IF(COUNTBLANK(Q50:Q56)=7,"",SUM(Q50:Q56))</f>
        <v>5910.6</v>
      </c>
      <c r="R57" s="392" t="str">
        <f t="shared" si="37"/>
        <v>*</v>
      </c>
      <c r="S57" s="403">
        <f>IF(COUNTBLANK(S50:S56)=7,"",IF(Q57=P57,P57,Q57))</f>
        <v>5910.6</v>
      </c>
      <c r="T57" s="12"/>
      <c r="U57" s="387"/>
      <c r="W57" s="227"/>
      <c r="X57" s="228">
        <f t="shared" si="47"/>
        <v>31</v>
      </c>
      <c r="Y57" s="229">
        <f t="shared" si="48"/>
        <v>39</v>
      </c>
      <c r="Z57" s="230">
        <f t="shared" si="49"/>
        <v>5910.6</v>
      </c>
      <c r="AA57" s="231">
        <f t="shared" si="50"/>
        <v>31005910.6</v>
      </c>
    </row>
    <row r="58" ht="7.5" customHeight="1"/>
    <row r="59" spans="18:19" ht="14.25">
      <c r="R59" s="408" t="s">
        <v>122</v>
      </c>
      <c r="S59" s="143" t="s">
        <v>123</v>
      </c>
    </row>
  </sheetData>
  <sheetProtection/>
  <mergeCells count="6">
    <mergeCell ref="A49:A57"/>
    <mergeCell ref="A40:A48"/>
    <mergeCell ref="A4:A12"/>
    <mergeCell ref="A13:A21"/>
    <mergeCell ref="A22:A30"/>
    <mergeCell ref="A31:A39"/>
  </mergeCells>
  <conditionalFormatting sqref="U5:U11 U32:U38 U23:U29 U41:U47 U14:U20 U50:U56">
    <cfRule type="cellIs" priority="1" dxfId="2" operator="equal" stopIfTrue="1">
      <formula>MAX($U$5:$Z$12,$U$15:$Z$22,$U$25:$Z$32)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S60"/>
  <sheetViews>
    <sheetView tabSelected="1" zoomScale="70" zoomScaleNormal="70" zoomScalePageLayoutView="0" workbookViewId="0" topLeftCell="B25">
      <selection activeCell="BB1" sqref="BB1:BK16384"/>
    </sheetView>
  </sheetViews>
  <sheetFormatPr defaultColWidth="3.625" defaultRowHeight="15" customHeight="1"/>
  <cols>
    <col min="1" max="1" width="9.00390625" style="59" hidden="1" customWidth="1"/>
    <col min="2" max="2" width="6.25390625" style="60" customWidth="1"/>
    <col min="3" max="3" width="11.125" style="60" customWidth="1"/>
    <col min="4" max="4" width="4.875" style="353" customWidth="1"/>
    <col min="5" max="9" width="5.00390625" style="60" customWidth="1"/>
    <col min="10" max="10" width="5.00390625" style="353" customWidth="1"/>
    <col min="11" max="12" width="4.125" style="60" customWidth="1"/>
    <col min="13" max="14" width="7.875" style="58" hidden="1" customWidth="1"/>
    <col min="15" max="15" width="1.875" style="353" customWidth="1"/>
    <col min="16" max="16" width="5.25390625" style="418" customWidth="1"/>
    <col min="17" max="17" width="10.75390625" style="58" hidden="1" customWidth="1"/>
    <col min="18" max="18" width="3.125" style="60" customWidth="1"/>
    <col min="19" max="24" width="5.00390625" style="446" customWidth="1"/>
    <col min="25" max="25" width="3.75390625" style="59" hidden="1" customWidth="1"/>
    <col min="26" max="26" width="6.25390625" style="60" customWidth="1"/>
    <col min="27" max="27" width="11.125" style="60" customWidth="1"/>
    <col min="28" max="28" width="4.875" style="353" customWidth="1"/>
    <col min="29" max="33" width="5.00390625" style="60" customWidth="1"/>
    <col min="34" max="34" width="5.00390625" style="353" customWidth="1"/>
    <col min="35" max="36" width="4.125" style="60" customWidth="1"/>
    <col min="37" max="38" width="7.875" style="58" hidden="1" customWidth="1"/>
    <col min="39" max="39" width="1.875" style="353" customWidth="1"/>
    <col min="40" max="40" width="5.25390625" style="418" customWidth="1"/>
    <col min="41" max="41" width="10.75390625" style="58" hidden="1" customWidth="1"/>
    <col min="42" max="42" width="3.125" style="60" customWidth="1"/>
    <col min="43" max="48" width="5.00390625" style="446" customWidth="1"/>
    <col min="49" max="49" width="3.625" style="59" customWidth="1"/>
    <col min="50" max="50" width="3.625" style="359" customWidth="1"/>
    <col min="51" max="51" width="3.625" style="59" customWidth="1"/>
    <col min="52" max="52" width="11.00390625" style="359" customWidth="1"/>
    <col min="53" max="53" width="6.00390625" style="359" bestFit="1" customWidth="1"/>
    <col min="54" max="63" width="4.50390625" style="359" customWidth="1"/>
    <col min="64" max="64" width="9.00390625" style="359" customWidth="1"/>
    <col min="65" max="67" width="3.625" style="359" customWidth="1"/>
    <col min="68" max="68" width="9.125" style="359" customWidth="1"/>
    <col min="69" max="69" width="5.875" style="359" customWidth="1"/>
    <col min="70" max="70" width="14.00390625" style="359" customWidth="1"/>
    <col min="71" max="71" width="7.375" style="59" customWidth="1"/>
    <col min="72" max="16384" width="3.625" style="59" customWidth="1"/>
  </cols>
  <sheetData>
    <row r="1" spans="2:50" ht="17.25">
      <c r="B1" s="444" t="str">
        <f>'★個人成績表★'!A1&amp;"  (1/2)"</f>
        <v>第28回　京阪神和奈滋対抗戦　　　(大阪；玉出エース)  (1/2)</v>
      </c>
      <c r="C1" s="4"/>
      <c r="D1" s="4"/>
      <c r="E1" s="4"/>
      <c r="F1" s="4"/>
      <c r="G1" s="4"/>
      <c r="H1" s="4"/>
      <c r="I1" s="4"/>
      <c r="J1" s="354"/>
      <c r="K1" s="4"/>
      <c r="L1" s="4"/>
      <c r="M1" s="26"/>
      <c r="N1" s="26"/>
      <c r="O1" s="4"/>
      <c r="P1" s="411"/>
      <c r="Q1" s="26"/>
      <c r="R1" s="4"/>
      <c r="S1" s="445"/>
      <c r="T1" s="445"/>
      <c r="U1" s="445"/>
      <c r="V1" s="445"/>
      <c r="W1" s="445"/>
      <c r="X1" s="445"/>
      <c r="Y1" s="4"/>
      <c r="Z1" s="444" t="str">
        <f>'★個人成績表★'!A1&amp;"  (2/2)"</f>
        <v>第28回　京阪神和奈滋対抗戦　　　(大阪；玉出エース)  (2/2)</v>
      </c>
      <c r="AA1" s="4"/>
      <c r="AB1" s="4"/>
      <c r="AC1" s="4"/>
      <c r="AD1" s="4"/>
      <c r="AE1" s="4"/>
      <c r="AF1" s="4"/>
      <c r="AG1" s="4"/>
      <c r="AH1" s="354"/>
      <c r="AI1" s="4"/>
      <c r="AJ1" s="4"/>
      <c r="AK1" s="26"/>
      <c r="AL1" s="26"/>
      <c r="AM1" s="4"/>
      <c r="AN1" s="411"/>
      <c r="AO1" s="26"/>
      <c r="AP1" s="4"/>
      <c r="AQ1" s="445"/>
      <c r="AR1" s="445"/>
      <c r="AS1" s="445"/>
      <c r="AT1" s="445"/>
      <c r="AU1" s="445"/>
      <c r="AV1" s="445"/>
      <c r="AX1" s="359" t="s">
        <v>87</v>
      </c>
    </row>
    <row r="2" spans="2:54" ht="15" customHeight="1">
      <c r="B2" s="5"/>
      <c r="C2" s="5"/>
      <c r="D2" s="5"/>
      <c r="E2" s="5"/>
      <c r="F2" s="5"/>
      <c r="G2" s="5"/>
      <c r="H2" s="5"/>
      <c r="I2" s="5"/>
      <c r="J2" s="24"/>
      <c r="K2" s="5"/>
      <c r="L2" s="5"/>
      <c r="M2" s="57"/>
      <c r="N2" s="57"/>
      <c r="O2" s="5"/>
      <c r="P2" s="412"/>
      <c r="Q2" s="57"/>
      <c r="R2" s="5"/>
      <c r="T2" s="498">
        <f>'登録'!E3</f>
        <v>42393</v>
      </c>
      <c r="U2" s="498"/>
      <c r="V2" s="498"/>
      <c r="W2" s="447"/>
      <c r="X2" s="447"/>
      <c r="Y2" s="6"/>
      <c r="Z2" s="5"/>
      <c r="AA2" s="5"/>
      <c r="AB2" s="5"/>
      <c r="AC2" s="5"/>
      <c r="AD2" s="5"/>
      <c r="AE2" s="5"/>
      <c r="AF2" s="5"/>
      <c r="AG2" s="5"/>
      <c r="AH2" s="24"/>
      <c r="AI2" s="5"/>
      <c r="AJ2" s="5"/>
      <c r="AK2" s="57"/>
      <c r="AL2" s="57"/>
      <c r="AM2" s="5"/>
      <c r="AN2" s="412"/>
      <c r="AO2" s="57"/>
      <c r="AP2" s="5"/>
      <c r="AR2" s="498">
        <f>'登録'!E3</f>
        <v>42393</v>
      </c>
      <c r="AS2" s="498"/>
      <c r="AT2" s="498"/>
      <c r="AU2" s="447"/>
      <c r="AV2" s="447"/>
      <c r="AX2" s="359">
        <v>1</v>
      </c>
      <c r="AZ2" s="359" t="str">
        <f>VLOOKUP(AX2,$AX$6:$BP$59,3,FALSE)</f>
        <v>折戸 和幸</v>
      </c>
      <c r="BA2" s="359" t="str">
        <f>VLOOKUP(AX2,$AX$6:$BP$59,4,FALSE)</f>
        <v>KRC</v>
      </c>
      <c r="BB2" s="359">
        <f>VLOOKUP(AX2,$AX$6:$BP$59,15,FALSE)</f>
        <v>120</v>
      </c>
    </row>
    <row r="3" spans="2:71" s="61" customFormat="1" ht="15" customHeight="1">
      <c r="B3" s="365" t="s">
        <v>116</v>
      </c>
      <c r="C3" s="292" t="s">
        <v>117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413"/>
      <c r="Q3" s="161"/>
      <c r="R3" s="161"/>
      <c r="S3" s="448"/>
      <c r="T3" s="448"/>
      <c r="U3" s="448"/>
      <c r="V3" s="448"/>
      <c r="W3" s="448"/>
      <c r="X3" s="448"/>
      <c r="Y3" s="162"/>
      <c r="Z3" s="365" t="s">
        <v>118</v>
      </c>
      <c r="AA3" s="292" t="s">
        <v>117</v>
      </c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413"/>
      <c r="AO3" s="161"/>
      <c r="AP3" s="161"/>
      <c r="AQ3" s="448"/>
      <c r="AR3" s="448"/>
      <c r="AS3" s="448"/>
      <c r="AT3" s="448"/>
      <c r="AU3" s="448"/>
      <c r="AV3" s="448"/>
      <c r="BQ3" s="360"/>
      <c r="BR3" s="360"/>
      <c r="BS3" s="360" t="s">
        <v>115</v>
      </c>
    </row>
    <row r="4" spans="2:70" s="61" customFormat="1" ht="15" customHeight="1" thickBo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413"/>
      <c r="Q4" s="161"/>
      <c r="R4" s="161"/>
      <c r="S4" s="448"/>
      <c r="T4" s="448"/>
      <c r="U4" s="448"/>
      <c r="V4" s="448"/>
      <c r="W4" s="448"/>
      <c r="X4" s="448"/>
      <c r="Y4" s="162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413"/>
      <c r="AO4" s="161"/>
      <c r="AP4" s="161"/>
      <c r="AQ4" s="448"/>
      <c r="AR4" s="448"/>
      <c r="AS4" s="448"/>
      <c r="AT4" s="448"/>
      <c r="AU4" s="448"/>
      <c r="AV4" s="448"/>
      <c r="AX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</row>
    <row r="5" spans="2:70" s="274" customFormat="1" ht="15" customHeight="1" thickBot="1">
      <c r="B5" s="305">
        <v>1</v>
      </c>
      <c r="C5" s="300" t="s">
        <v>89</v>
      </c>
      <c r="D5" s="419" t="s">
        <v>124</v>
      </c>
      <c r="E5" s="356" t="str">
        <f>B6</f>
        <v>KRC</v>
      </c>
      <c r="F5" s="357" t="str">
        <f>B7</f>
        <v>HRC</v>
      </c>
      <c r="G5" s="357" t="str">
        <f>B8</f>
        <v>ORC</v>
      </c>
      <c r="H5" s="357" t="str">
        <f>B9</f>
        <v>NRC</v>
      </c>
      <c r="I5" s="357" t="str">
        <f>B10</f>
        <v>SBC</v>
      </c>
      <c r="J5" s="358" t="str">
        <f>B11</f>
        <v>WRC</v>
      </c>
      <c r="K5" s="347" t="s">
        <v>93</v>
      </c>
      <c r="L5" s="290" t="s">
        <v>94</v>
      </c>
      <c r="M5" s="301" t="s">
        <v>95</v>
      </c>
      <c r="N5" s="301" t="s">
        <v>99</v>
      </c>
      <c r="O5" s="410" t="s">
        <v>28</v>
      </c>
      <c r="P5" s="290"/>
      <c r="Q5" s="291" t="s">
        <v>96</v>
      </c>
      <c r="R5" s="348" t="s">
        <v>97</v>
      </c>
      <c r="S5" s="449" t="s">
        <v>98</v>
      </c>
      <c r="T5" s="450"/>
      <c r="U5" s="450"/>
      <c r="V5" s="450"/>
      <c r="W5" s="451"/>
      <c r="X5" s="451"/>
      <c r="Z5" s="305">
        <v>1</v>
      </c>
      <c r="AA5" s="300" t="s">
        <v>89</v>
      </c>
      <c r="AB5" s="419" t="s">
        <v>119</v>
      </c>
      <c r="AC5" s="356" t="str">
        <f>$B$6</f>
        <v>KRC</v>
      </c>
      <c r="AD5" s="357" t="str">
        <f>$B$7</f>
        <v>HRC</v>
      </c>
      <c r="AE5" s="357" t="str">
        <f>$B$8</f>
        <v>ORC</v>
      </c>
      <c r="AF5" s="357" t="str">
        <f>$B$9</f>
        <v>NRC</v>
      </c>
      <c r="AG5" s="357" t="str">
        <f>$B$10</f>
        <v>SBC</v>
      </c>
      <c r="AH5" s="358" t="str">
        <f>$B$11</f>
        <v>WRC</v>
      </c>
      <c r="AI5" s="347" t="s">
        <v>93</v>
      </c>
      <c r="AJ5" s="290" t="s">
        <v>94</v>
      </c>
      <c r="AK5" s="301" t="s">
        <v>95</v>
      </c>
      <c r="AL5" s="301" t="s">
        <v>99</v>
      </c>
      <c r="AM5" s="410" t="s">
        <v>28</v>
      </c>
      <c r="AN5" s="290"/>
      <c r="AO5" s="291" t="s">
        <v>96</v>
      </c>
      <c r="AP5" s="348" t="s">
        <v>97</v>
      </c>
      <c r="AQ5" s="449" t="s">
        <v>98</v>
      </c>
      <c r="AR5" s="450"/>
      <c r="AS5" s="450"/>
      <c r="AT5" s="450"/>
      <c r="AU5" s="451"/>
      <c r="AV5" s="451"/>
      <c r="AX5" s="360" t="s">
        <v>114</v>
      </c>
      <c r="AY5" s="61"/>
      <c r="AZ5" s="360"/>
      <c r="BA5" s="360"/>
      <c r="BB5" s="360" t="s">
        <v>100</v>
      </c>
      <c r="BC5" s="360" t="s">
        <v>101</v>
      </c>
      <c r="BD5" s="360" t="s">
        <v>102</v>
      </c>
      <c r="BE5" s="360" t="s">
        <v>103</v>
      </c>
      <c r="BF5" s="360" t="s">
        <v>104</v>
      </c>
      <c r="BG5" s="360" t="s">
        <v>105</v>
      </c>
      <c r="BH5" s="360" t="s">
        <v>106</v>
      </c>
      <c r="BI5" s="360" t="s">
        <v>107</v>
      </c>
      <c r="BJ5" s="360" t="s">
        <v>108</v>
      </c>
      <c r="BK5" s="360" t="s">
        <v>109</v>
      </c>
      <c r="BL5" s="360" t="s">
        <v>115</v>
      </c>
      <c r="BM5" s="360" t="s">
        <v>110</v>
      </c>
      <c r="BN5" s="360" t="s">
        <v>111</v>
      </c>
      <c r="BO5" s="360" t="s">
        <v>112</v>
      </c>
      <c r="BP5" s="360" t="s">
        <v>113</v>
      </c>
      <c r="BQ5" s="361"/>
      <c r="BR5" s="361"/>
    </row>
    <row r="6" spans="1:71" s="274" customFormat="1" ht="15" customHeight="1" thickTop="1">
      <c r="A6" s="275">
        <v>1</v>
      </c>
      <c r="B6" s="28" t="str">
        <f>IF('登録'!$AF17="","",'登録'!$B17)</f>
        <v>KRC</v>
      </c>
      <c r="C6" s="367" t="str">
        <f>VLOOKUP(VALUE(A6&amp;B5),'登録'!$AE$2:$AH$55,3,FALSE)</f>
        <v>折戸 和幸</v>
      </c>
      <c r="D6" s="350">
        <f>VLOOKUP(VALUE(A6&amp;B5),'登録'!$AE$2:$AH$55,4,FALSE)</f>
        <v>120</v>
      </c>
      <c r="E6" s="306"/>
      <c r="F6" s="302">
        <f>'★個人成績表★'!H5</f>
        <v>12</v>
      </c>
      <c r="G6" s="302">
        <f>'★個人成績表★'!G5</f>
        <v>67</v>
      </c>
      <c r="H6" s="302">
        <f>'★個人成績表★'!F5</f>
        <v>79</v>
      </c>
      <c r="I6" s="302" t="str">
        <f>'★個人成績表★'!E5</f>
        <v>w</v>
      </c>
      <c r="J6" s="302" t="str">
        <f>'★個人成績表★'!D5</f>
        <v>w</v>
      </c>
      <c r="K6" s="349">
        <f aca="true" t="shared" si="0" ref="K6:K11">IF(COUNTBLANK(E6:J6)=6,"",COUNTIF(E6:J6,"w"))</f>
        <v>2</v>
      </c>
      <c r="L6" s="276">
        <f aca="true" t="shared" si="1" ref="L6:L11">IF(COUNTBLANK(E6:J6)=6,"",6-COUNTBLANK(E6:J6)-K6)</f>
        <v>3</v>
      </c>
      <c r="M6" s="303">
        <f aca="true" t="shared" si="2" ref="M6:M11">K6*D6+SUM(E6:J6)</f>
        <v>398</v>
      </c>
      <c r="N6" s="303">
        <f>M6*'登録'!$I$8/'★対戦リーグ表★'!D6</f>
        <v>398</v>
      </c>
      <c r="O6" s="302">
        <f aca="true" t="shared" si="3" ref="O6:O11">IF(ISERROR(N6),"",IF(M6=N6,"","*"))</f>
      </c>
      <c r="P6" s="414">
        <f aca="true" t="shared" si="4" ref="P6:P11">IF(COUNTBLANK(E6:J6)=6,"",N6)</f>
        <v>398</v>
      </c>
      <c r="Q6" s="277">
        <f>K6*100000+N6</f>
        <v>200398</v>
      </c>
      <c r="R6" s="350">
        <f>IF(COUNTBLANK(E6:J6)=6,"",RANK(Q6,Q6:Q11))</f>
        <v>4</v>
      </c>
      <c r="S6" s="452"/>
      <c r="T6" s="453">
        <f>IF('結果入力表'!E100="","",'結果入力表'!E100)</f>
      </c>
      <c r="U6" s="453">
        <f>IF('結果入力表'!E79="","",'結果入力表'!E79)</f>
      </c>
      <c r="V6" s="453">
        <f>IF('結果入力表'!E58="","",'結果入力表'!E58)</f>
      </c>
      <c r="W6" s="453">
        <f>IF('結果入力表'!E37="","",'結果入力表'!E37)</f>
      </c>
      <c r="X6" s="454">
        <f>IF('結果入力表'!E16="","",'結果入力表'!E16)</f>
        <v>112</v>
      </c>
      <c r="Y6" s="275">
        <v>11</v>
      </c>
      <c r="Z6" s="28" t="str">
        <f>IF('登録'!$AF17="","",'登録'!$B17)</f>
        <v>KRC</v>
      </c>
      <c r="AA6" s="367" t="str">
        <f>VLOOKUP(Y6,'登録'!$AE$2:$AH$55,3,FALSE)</f>
        <v>折戸 和幸</v>
      </c>
      <c r="AB6" s="350">
        <f>VLOOKUP(Y6,'登録'!$AE$2:$AH$55,4,FALSE)</f>
        <v>120</v>
      </c>
      <c r="AC6" s="306"/>
      <c r="AD6" s="302" t="str">
        <f>'★個人成績表★'!M5</f>
        <v>w</v>
      </c>
      <c r="AE6" s="302" t="str">
        <f>'★個人成績表★'!L5</f>
        <v>w</v>
      </c>
      <c r="AF6" s="302" t="str">
        <f>'★個人成績表★'!K5</f>
        <v>w</v>
      </c>
      <c r="AG6" s="302" t="str">
        <f>'★個人成績表★'!J5</f>
        <v>w</v>
      </c>
      <c r="AH6" s="302" t="str">
        <f>'★個人成績表★'!I5</f>
        <v>w</v>
      </c>
      <c r="AI6" s="349">
        <f aca="true" t="shared" si="5" ref="AI6:AI11">IF(COUNTBLANK(AC6:AH6)=6,"",COUNTIF(AC6:AH6,"w"))</f>
        <v>5</v>
      </c>
      <c r="AJ6" s="276">
        <f aca="true" t="shared" si="6" ref="AJ6:AJ11">IF(COUNTBLANK(AC6:AH6)=6,"",6-COUNTBLANK(AC6:AH6)-AI6)</f>
        <v>0</v>
      </c>
      <c r="AK6" s="303">
        <f aca="true" t="shared" si="7" ref="AK6:AK11">AI6*AB6+SUM(AC6:AH6)</f>
        <v>600</v>
      </c>
      <c r="AL6" s="303">
        <f>AK6*'登録'!$I$8/'★対戦リーグ表★'!AB6</f>
        <v>600</v>
      </c>
      <c r="AM6" s="302">
        <f aca="true" t="shared" si="8" ref="AM6:AM11">IF(ISERROR(AL6),"",IF(AK6=AL6,"","*"))</f>
      </c>
      <c r="AN6" s="414">
        <f aca="true" t="shared" si="9" ref="AN6:AN11">IF(COUNTBLANK(AC6:AH6)=6,"",AL6)</f>
        <v>600</v>
      </c>
      <c r="AO6" s="277">
        <f>AI6*100000+AL6</f>
        <v>500600</v>
      </c>
      <c r="AP6" s="350">
        <f>IF(COUNTBLANK(AC6:AH6)=6,"",RANK(AO6,AO6:AO11))</f>
        <v>1</v>
      </c>
      <c r="AQ6" s="452"/>
      <c r="AR6" s="453">
        <f>IF('結果入力表'!E205="","",'結果入力表'!E205)</f>
      </c>
      <c r="AS6" s="453">
        <f>IF('結果入力表'!E184="","",'結果入力表'!E184)</f>
        <v>109</v>
      </c>
      <c r="AT6" s="453">
        <f>IF('結果入力表'!E163="","",'結果入力表'!E163)</f>
        <v>120</v>
      </c>
      <c r="AU6" s="453">
        <f>IF('結果入力表'!E142="","",'結果入力表'!E142)</f>
      </c>
      <c r="AV6" s="454">
        <f>IF('結果入力表'!E121="","",'結果入力表'!E121)</f>
      </c>
      <c r="AX6" s="361">
        <f aca="true" t="shared" si="10" ref="AX6:AX11">RANK(BP6,$BP$6:$BP$59)</f>
        <v>1</v>
      </c>
      <c r="AZ6" s="361" t="str">
        <f aca="true" t="shared" si="11" ref="AZ6:AZ11">C6</f>
        <v>折戸 和幸</v>
      </c>
      <c r="BA6" s="361" t="str">
        <f aca="true" t="shared" si="12" ref="BA6:BA11">B6</f>
        <v>KRC</v>
      </c>
      <c r="BB6" s="364">
        <f>IF(LEFT(T6,1)="A","A",IF(LEFT(T6,1)="B","B",T6))</f>
      </c>
      <c r="BC6" s="364">
        <f>IF(LEFT(U6,1)="A","A",IF(LEFT(U6,1)="B","B",U6))</f>
      </c>
      <c r="BD6" s="364">
        <f>IF(LEFT(V6,1)="A","A",IF(LEFT(V6,1)="B","B",V6))</f>
      </c>
      <c r="BE6" s="364">
        <f>IF(LEFT(W6,1)="A","A",IF(LEFT(W6,1)="B","B",W6))</f>
      </c>
      <c r="BF6" s="364">
        <f>IF(LEFT(X6,1)="A","A",IF(LEFT(X6,1)="B","B",X6))</f>
        <v>112</v>
      </c>
      <c r="BG6" s="364">
        <f>IF(LEFT(AR6,1)="A","A",IF(LEFT(AR6,1)="B","B",AR6))</f>
      </c>
      <c r="BH6" s="364">
        <f>IF(LEFT(AS6,1)="A","A",IF(LEFT(AS6,1)="B","B",AS6))</f>
        <v>109</v>
      </c>
      <c r="BI6" s="364">
        <f>IF(LEFT(AT6,1)="A","A",IF(LEFT(AT6,1)="B","B",AT6))</f>
        <v>120</v>
      </c>
      <c r="BJ6" s="364">
        <f>IF(LEFT(AU6,1)="A","A",IF(LEFT(AU6,1)="B","B",AU6))</f>
      </c>
      <c r="BK6" s="364">
        <f>IF(LEFT(AV6,1)="A","A",IF(LEFT(AV6,1)="B","B",AV6))</f>
      </c>
      <c r="BL6" s="361">
        <f>IF(BM6&gt;0,"A"&amp;'登録'!$I$8,IF(BN6&gt;0,"B"&amp;'登録'!$I$8,BO6))</f>
        <v>120</v>
      </c>
      <c r="BM6" s="361">
        <f aca="true" t="shared" si="13" ref="BM6:BN11">COUNTIF($BB6:$BK6,BM$5)</f>
        <v>0</v>
      </c>
      <c r="BN6" s="361">
        <f t="shared" si="13"/>
        <v>0</v>
      </c>
      <c r="BO6" s="361">
        <f aca="true" t="shared" si="14" ref="BO6:BO11">MAX(BB6:BK6)</f>
        <v>120</v>
      </c>
      <c r="BP6" s="361">
        <f aca="true" t="shared" si="15" ref="BP6:BP11">BM6*10000+BN6*1000+BO6</f>
        <v>120</v>
      </c>
      <c r="BQ6" s="361"/>
      <c r="BR6" s="361" t="str">
        <f>'★個人成績表★'!B5</f>
        <v>折戸 和幸</v>
      </c>
      <c r="BS6" s="361">
        <f aca="true" t="shared" si="16" ref="BS6:BS12">VLOOKUP(BR6,$AZ$6:$BL$59,13,FALSE)</f>
        <v>120</v>
      </c>
    </row>
    <row r="7" spans="1:71" s="274" customFormat="1" ht="15" customHeight="1">
      <c r="A7" s="275">
        <v>2</v>
      </c>
      <c r="B7" s="27" t="str">
        <f>IF('登録'!$B18="","",'登録'!$B18)</f>
        <v>HRC</v>
      </c>
      <c r="C7" s="368" t="str">
        <f>VLOOKUP(VALUE(A7&amp;B5),'登録'!$AE$2:$AH$55,3,FALSE)</f>
        <v>堂園 雅也</v>
      </c>
      <c r="D7" s="351">
        <f>VLOOKUP(VALUE(A7&amp;B5),'登録'!$AE$2:$AH$55,4,FALSE)</f>
        <v>120</v>
      </c>
      <c r="E7" s="298" t="str">
        <f>'★個人成績表★'!H14</f>
        <v>w</v>
      </c>
      <c r="F7" s="294"/>
      <c r="G7" s="295">
        <f>'★個人成績表★'!E14</f>
        <v>0</v>
      </c>
      <c r="H7" s="295">
        <f>'★個人成績表★'!G14</f>
        <v>70</v>
      </c>
      <c r="I7" s="295" t="str">
        <f>'★個人成績表★'!D14</f>
        <v>w</v>
      </c>
      <c r="J7" s="295" t="str">
        <f>'★個人成績表★'!F14</f>
        <v>w</v>
      </c>
      <c r="K7" s="280">
        <f t="shared" si="0"/>
        <v>3</v>
      </c>
      <c r="L7" s="278">
        <f t="shared" si="1"/>
        <v>2</v>
      </c>
      <c r="M7" s="299">
        <f t="shared" si="2"/>
        <v>430</v>
      </c>
      <c r="N7" s="299">
        <f>M7*'登録'!$I$8/'★対戦リーグ表★'!D7</f>
        <v>430</v>
      </c>
      <c r="O7" s="295">
        <f t="shared" si="3"/>
      </c>
      <c r="P7" s="415">
        <f t="shared" si="4"/>
        <v>430</v>
      </c>
      <c r="Q7" s="279">
        <f>K7*100000+N7</f>
        <v>300430</v>
      </c>
      <c r="R7" s="351">
        <f>IF(COUNTBLANK(E7:J7)=6,"",RANK(Q7,Q6:Q11))</f>
        <v>3</v>
      </c>
      <c r="S7" s="455">
        <f>IF('結果入力表'!H100="","",'結果入力表'!H100)</f>
      </c>
      <c r="T7" s="456"/>
      <c r="U7" s="457">
        <f>IF('結果入力表'!E23="","",'結果入力表'!E23)</f>
      </c>
      <c r="V7" s="457">
        <f>IF('結果入力表'!H72="","",'結果入力表'!H72)</f>
      </c>
      <c r="W7" s="457">
        <f>IF('結果入力表'!E9="","",'結果入力表'!E9)</f>
      </c>
      <c r="X7" s="458">
        <f>IF('結果入力表'!H44="","",'結果入力表'!H44)</f>
        <v>113</v>
      </c>
      <c r="Y7" s="275">
        <v>22</v>
      </c>
      <c r="Z7" s="27" t="str">
        <f>IF('登録'!$B18="","",'登録'!$B18)</f>
        <v>HRC</v>
      </c>
      <c r="AA7" s="368" t="str">
        <f>VLOOKUP(Y7,'登録'!$AE$2:$AH$55,3,FALSE)</f>
        <v>長井　充</v>
      </c>
      <c r="AB7" s="351">
        <f>VLOOKUP(Y7,'登録'!$AE$2:$AH$55,4,FALSE)</f>
        <v>120</v>
      </c>
      <c r="AC7" s="298">
        <f>'★個人成績表★'!M15</f>
        <v>64</v>
      </c>
      <c r="AD7" s="294"/>
      <c r="AE7" s="295">
        <f>'★個人成績表★'!J15</f>
        <v>62</v>
      </c>
      <c r="AF7" s="295">
        <f>'★個人成績表★'!L15</f>
        <v>15</v>
      </c>
      <c r="AG7" s="295" t="str">
        <f>'★個人成績表★'!I15</f>
        <v>w</v>
      </c>
      <c r="AH7" s="295" t="str">
        <f>'★個人成績表★'!K15</f>
        <v>w</v>
      </c>
      <c r="AI7" s="280">
        <f t="shared" si="5"/>
        <v>2</v>
      </c>
      <c r="AJ7" s="278">
        <f t="shared" si="6"/>
        <v>3</v>
      </c>
      <c r="AK7" s="299">
        <f t="shared" si="7"/>
        <v>381</v>
      </c>
      <c r="AL7" s="299">
        <f>AK7*'登録'!$I$8/'★対戦リーグ表★'!AB7</f>
        <v>381</v>
      </c>
      <c r="AM7" s="295">
        <f t="shared" si="8"/>
      </c>
      <c r="AN7" s="415">
        <f t="shared" si="9"/>
        <v>381</v>
      </c>
      <c r="AO7" s="279">
        <f>AI7*100000+AL7</f>
        <v>200381</v>
      </c>
      <c r="AP7" s="351">
        <f>IF(COUNTBLANK(AC7:AH7)=6,"",RANK(AO7,AO6:AO11))</f>
        <v>4</v>
      </c>
      <c r="AQ7" s="455">
        <f>IF('結果入力表'!H205="","",'結果入力表'!H205)</f>
      </c>
      <c r="AR7" s="456"/>
      <c r="AS7" s="457">
        <f>IF('結果入力表'!E128="","",'結果入力表'!E128)</f>
      </c>
      <c r="AT7" s="457">
        <f>IF('結果入力表'!H177="","",'結果入力表'!H177)</f>
      </c>
      <c r="AU7" s="457">
        <f>IF('結果入力表'!E114="","",'結果入力表'!E114)</f>
        <v>100</v>
      </c>
      <c r="AV7" s="458">
        <f>IF('結果入力表'!H149="","",'結果入力表'!H149)</f>
      </c>
      <c r="AX7" s="361">
        <f t="shared" si="10"/>
        <v>1</v>
      </c>
      <c r="AZ7" s="361" t="str">
        <f t="shared" si="11"/>
        <v>堂園 雅也</v>
      </c>
      <c r="BA7" s="361" t="str">
        <f t="shared" si="12"/>
        <v>HRC</v>
      </c>
      <c r="BB7" s="364">
        <f aca="true" t="shared" si="17" ref="BB7:BF11">IF(LEFT(S7,1)="A","A",IF(LEFT(S7,1)="B","B",S7))</f>
      </c>
      <c r="BC7" s="364">
        <f>IF(LEFT(U7,1)="A","A",IF(LEFT(U7,1)="B","B",U7))</f>
      </c>
      <c r="BD7" s="364">
        <f>IF(LEFT(V7,1)="A","A",IF(LEFT(V7,1)="B","B",V7))</f>
      </c>
      <c r="BE7" s="364">
        <f>IF(LEFT(W7,1)="A","A",IF(LEFT(W7,1)="B","B",W7))</f>
      </c>
      <c r="BF7" s="364">
        <f>IF(LEFT(X7,1)="A","A",IF(LEFT(X7,1)="B","B",X7))</f>
        <v>113</v>
      </c>
      <c r="BG7" s="364">
        <f>IF(LEFT(AQ55,1)="A","A",IF(LEFT(AQ55,1)="B","B",AQ55))</f>
      </c>
      <c r="BH7" s="364">
        <f>IF(LEFT(AS55,1)="A","A",IF(LEFT(AS55,1)="B","B",AS55))</f>
        <v>120</v>
      </c>
      <c r="BI7" s="364">
        <f>IF(LEFT(AT55,1)="A","A",IF(LEFT(AT55,1)="B","B",AT55))</f>
      </c>
      <c r="BJ7" s="364">
        <f>IF(LEFT(AU55,1)="A","A",IF(LEFT(AU55,1)="B","B",AU55))</f>
      </c>
      <c r="BK7" s="364">
        <f>IF(LEFT(AV55,1)="A","A",IF(LEFT(AV55,1)="B","B",AV55))</f>
      </c>
      <c r="BL7" s="361">
        <f>IF(BM7&gt;0,"A"&amp;'登録'!$I$8,IF(BN7&gt;0,"B"&amp;'登録'!$I$8,BO7))</f>
        <v>120</v>
      </c>
      <c r="BM7" s="361">
        <f t="shared" si="13"/>
        <v>0</v>
      </c>
      <c r="BN7" s="361">
        <f t="shared" si="13"/>
        <v>0</v>
      </c>
      <c r="BO7" s="361">
        <f t="shared" si="14"/>
        <v>120</v>
      </c>
      <c r="BP7" s="361">
        <f t="shared" si="15"/>
        <v>120</v>
      </c>
      <c r="BQ7" s="361"/>
      <c r="BR7" s="361" t="str">
        <f>'★個人成績表★'!B6</f>
        <v>今村 哲也</v>
      </c>
      <c r="BS7" s="361">
        <f t="shared" si="16"/>
        <v>104</v>
      </c>
    </row>
    <row r="8" spans="1:71" s="274" customFormat="1" ht="15" customHeight="1">
      <c r="A8" s="275">
        <v>3</v>
      </c>
      <c r="B8" s="27" t="str">
        <f>IF('登録'!$B19="","",'登録'!$B19)</f>
        <v>ORC</v>
      </c>
      <c r="C8" s="368" t="str">
        <f>VLOOKUP(VALUE(A8&amp;B5),'登録'!$AE$2:$AH$55,3,FALSE)</f>
        <v>村上 泰辰</v>
      </c>
      <c r="D8" s="351">
        <f>VLOOKUP(VALUE(A8&amp;B5),'登録'!$AE$2:$AH$55,4,FALSE)</f>
        <v>120</v>
      </c>
      <c r="E8" s="298" t="str">
        <f>'★個人成績表★'!G23</f>
        <v>w</v>
      </c>
      <c r="F8" s="295" t="str">
        <f>'★個人成績表★'!E23</f>
        <v>w</v>
      </c>
      <c r="G8" s="294"/>
      <c r="H8" s="295" t="str">
        <f>'★個人成績表★'!D23</f>
        <v>w</v>
      </c>
      <c r="I8" s="295">
        <f>'★個人成績表★'!F23</f>
        <v>81</v>
      </c>
      <c r="J8" s="295" t="str">
        <f>'★個人成績表★'!H23</f>
        <v>w</v>
      </c>
      <c r="K8" s="280">
        <f t="shared" si="0"/>
        <v>4</v>
      </c>
      <c r="L8" s="278">
        <f t="shared" si="1"/>
        <v>1</v>
      </c>
      <c r="M8" s="299">
        <f t="shared" si="2"/>
        <v>561</v>
      </c>
      <c r="N8" s="299">
        <f>M8*'登録'!$I$8/'★対戦リーグ表★'!D8</f>
        <v>561</v>
      </c>
      <c r="O8" s="295">
        <f t="shared" si="3"/>
      </c>
      <c r="P8" s="415">
        <f t="shared" si="4"/>
        <v>561</v>
      </c>
      <c r="Q8" s="279">
        <f>K8*100000+N8</f>
        <v>400561</v>
      </c>
      <c r="R8" s="351">
        <f>IF(COUNTBLANK(E8:J8)=6,"",RANK(Q8,Q6:Q11))</f>
        <v>2</v>
      </c>
      <c r="S8" s="455">
        <f>IF('結果入力表'!H79="","",'結果入力表'!H79)</f>
      </c>
      <c r="T8" s="457" t="str">
        <f>IF('結果入力表'!H23="","",'結果入力表'!H23)</f>
        <v>120A</v>
      </c>
      <c r="U8" s="456"/>
      <c r="V8" s="457">
        <f>IF('結果入力表'!E2="","",'結果入力表'!E2)</f>
      </c>
      <c r="W8" s="457">
        <f>IF('結果入力表'!H51="","",'結果入力表'!H51)</f>
      </c>
      <c r="X8" s="458" t="str">
        <f>IF('結果入力表'!E93="","",'結果入力表'!E93)</f>
        <v>120B</v>
      </c>
      <c r="Y8" s="275">
        <v>33</v>
      </c>
      <c r="Z8" s="27" t="str">
        <f>IF('登録'!$B19="","",'登録'!$B19)</f>
        <v>ORC</v>
      </c>
      <c r="AA8" s="368" t="str">
        <f>VLOOKUP(Y8,'登録'!$AE$2:$AH$55,3,FALSE)</f>
        <v>吉岡 保俊</v>
      </c>
      <c r="AB8" s="351">
        <f>VLOOKUP(Y8,'登録'!$AE$2:$AH$55,4,FALSE)</f>
        <v>120</v>
      </c>
      <c r="AC8" s="298">
        <f>'★個人成績表★'!L25</f>
        <v>0</v>
      </c>
      <c r="AD8" s="295" t="str">
        <f>'★個人成績表★'!J25</f>
        <v>w</v>
      </c>
      <c r="AE8" s="294"/>
      <c r="AF8" s="295" t="str">
        <f>'★個人成績表★'!I25</f>
        <v>w</v>
      </c>
      <c r="AG8" s="295">
        <f>'★個人成績表★'!K25</f>
        <v>56</v>
      </c>
      <c r="AH8" s="295" t="str">
        <f>'★個人成績表★'!M25</f>
        <v>w</v>
      </c>
      <c r="AI8" s="280">
        <f t="shared" si="5"/>
        <v>3</v>
      </c>
      <c r="AJ8" s="278">
        <f t="shared" si="6"/>
        <v>2</v>
      </c>
      <c r="AK8" s="299">
        <f t="shared" si="7"/>
        <v>416</v>
      </c>
      <c r="AL8" s="299">
        <f>AK8*'登録'!$I$8/'★対戦リーグ表★'!AB8</f>
        <v>416</v>
      </c>
      <c r="AM8" s="295">
        <f t="shared" si="8"/>
      </c>
      <c r="AN8" s="415">
        <f t="shared" si="9"/>
        <v>416</v>
      </c>
      <c r="AO8" s="279">
        <f>AI8*100000+AL8</f>
        <v>300416</v>
      </c>
      <c r="AP8" s="351">
        <f>IF(COUNTBLANK(AC8:AH8)=6,"",RANK(AO8,AO6:AO11))</f>
        <v>2</v>
      </c>
      <c r="AQ8" s="455">
        <f>IF('結果入力表'!H184="","",'結果入力表'!H184)</f>
      </c>
      <c r="AR8" s="457">
        <f>IF('結果入力表'!H128="","",'結果入力表'!H128)</f>
      </c>
      <c r="AS8" s="456"/>
      <c r="AT8" s="457">
        <f>IF('結果入力表'!E107="","",'結果入力表'!E107)</f>
        <v>118</v>
      </c>
      <c r="AU8" s="457">
        <f>IF('結果入力表'!H156="","",'結果入力表'!H156)</f>
      </c>
      <c r="AV8" s="458">
        <f>IF('結果入力表'!E198="","",'結果入力表'!E198)</f>
      </c>
      <c r="AX8" s="361">
        <f t="shared" si="10"/>
        <v>17</v>
      </c>
      <c r="AZ8" s="361" t="str">
        <f t="shared" si="11"/>
        <v>村上 泰辰</v>
      </c>
      <c r="BA8" s="361" t="str">
        <f t="shared" si="12"/>
        <v>ORC</v>
      </c>
      <c r="BB8" s="364">
        <f t="shared" si="17"/>
      </c>
      <c r="BC8" s="364" t="str">
        <f t="shared" si="17"/>
        <v>120A</v>
      </c>
      <c r="BD8" s="364">
        <f>IF(LEFT(V8,1)="A","A",IF(LEFT(V8,1)="B","B",V8))</f>
      </c>
      <c r="BE8" s="364">
        <f>IF(LEFT(W8,1)="A","A",IF(LEFT(W8,1)="B","B",W8))</f>
      </c>
      <c r="BF8" s="364" t="str">
        <f>IF(LEFT(X8,1)="A","A",IF(LEFT(X8,1)="B","B",X8))</f>
        <v>120B</v>
      </c>
      <c r="BG8" s="364" t="str">
        <f>IF(LEFT(AQ48,1)="A","A",IF(LEFT(AQ48,1)="B","B",AQ48))</f>
        <v>120B</v>
      </c>
      <c r="BH8" s="364">
        <f>IF(LEFT(AR48,1)="A","A",IF(LEFT(AR48,1)="B","B",AR48))</f>
      </c>
      <c r="BI8" s="364">
        <f>IF(LEFT(AT48,1)="A","A",IF(LEFT(AT48,1)="B","B",AT48))</f>
      </c>
      <c r="BJ8" s="364">
        <f>IF(LEFT(AU48,1)="A","A",IF(LEFT(AU48,1)="B","B",AU48))</f>
      </c>
      <c r="BK8" s="364">
        <f>IF(LEFT(AV48,1)="A","A",IF(LEFT(AV48,1)="B","B",AV48))</f>
      </c>
      <c r="BL8" s="361">
        <f>IF(BM8&gt;0,"A"&amp;'登録'!$I$8,IF(BN8&gt;0,"B"&amp;'登録'!$I$8,BO8))</f>
        <v>0</v>
      </c>
      <c r="BM8" s="361">
        <f t="shared" si="13"/>
        <v>0</v>
      </c>
      <c r="BN8" s="361">
        <f t="shared" si="13"/>
        <v>0</v>
      </c>
      <c r="BO8" s="361">
        <f t="shared" si="14"/>
        <v>0</v>
      </c>
      <c r="BP8" s="361">
        <f t="shared" si="15"/>
        <v>0</v>
      </c>
      <c r="BQ8" s="361"/>
      <c r="BR8" s="361" t="str">
        <f>'★個人成績表★'!B7</f>
        <v>小山 久博</v>
      </c>
      <c r="BS8" s="361">
        <f t="shared" si="16"/>
        <v>111</v>
      </c>
    </row>
    <row r="9" spans="1:71" s="274" customFormat="1" ht="15" customHeight="1">
      <c r="A9" s="275">
        <v>4</v>
      </c>
      <c r="B9" s="27" t="str">
        <f>IF('登録'!$B20="","",'登録'!$B20)</f>
        <v>NRC</v>
      </c>
      <c r="C9" s="368" t="str">
        <f>VLOOKUP(VALUE(A9&amp;B5),'登録'!$AE$2:$AH$55,3,FALSE)</f>
        <v>白戸 玲人</v>
      </c>
      <c r="D9" s="351">
        <f>VLOOKUP(VALUE(A9&amp;B5),'登録'!$AE$2:$AH$55,4,FALSE)</f>
        <v>120</v>
      </c>
      <c r="E9" s="298" t="str">
        <f>'★個人成績表★'!F32</f>
        <v>w</v>
      </c>
      <c r="F9" s="295" t="str">
        <f>'★個人成績表★'!G32</f>
        <v>w</v>
      </c>
      <c r="G9" s="295">
        <f>'★個人成績表★'!D32</f>
        <v>83</v>
      </c>
      <c r="H9" s="294"/>
      <c r="I9" s="295" t="str">
        <f>'★個人成績表★'!H32</f>
        <v>w</v>
      </c>
      <c r="J9" s="295" t="str">
        <f>'★個人成績表★'!E32</f>
        <v>w</v>
      </c>
      <c r="K9" s="280">
        <f t="shared" si="0"/>
        <v>4</v>
      </c>
      <c r="L9" s="278">
        <f t="shared" si="1"/>
        <v>1</v>
      </c>
      <c r="M9" s="299">
        <f t="shared" si="2"/>
        <v>563</v>
      </c>
      <c r="N9" s="299">
        <f>M9*'登録'!$I$8/'★対戦リーグ表★'!D9</f>
        <v>563</v>
      </c>
      <c r="O9" s="295">
        <f t="shared" si="3"/>
      </c>
      <c r="P9" s="415">
        <f t="shared" si="4"/>
        <v>563</v>
      </c>
      <c r="Q9" s="279">
        <f>K9*100000+N9</f>
        <v>400563</v>
      </c>
      <c r="R9" s="351">
        <f>IF(COUNTBLANK(E9:J9)=6,"",RANK(Q9,Q6:Q11))</f>
        <v>1</v>
      </c>
      <c r="S9" s="455">
        <f>IF('結果入力表'!H58="","",'結果入力表'!H58)</f>
      </c>
      <c r="T9" s="457">
        <f>IF('結果入力表'!E72="","",'結果入力表'!E72)</f>
      </c>
      <c r="U9" s="457">
        <f>IF('結果入力表'!H2="","",'結果入力表'!H2)</f>
      </c>
      <c r="V9" s="456"/>
      <c r="W9" s="457">
        <f>IF('結果入力表'!E86="","",'結果入力表'!E86)</f>
        <v>120</v>
      </c>
      <c r="X9" s="458">
        <f>IF('結果入力表'!H30="","",'結果入力表'!H30)</f>
      </c>
      <c r="Y9" s="275">
        <v>44</v>
      </c>
      <c r="Z9" s="27" t="str">
        <f>IF('登録'!$B20="","",'登録'!$B20)</f>
        <v>NRC</v>
      </c>
      <c r="AA9" s="368" t="str">
        <f>VLOOKUP(Y9,'登録'!$AE$2:$AH$55,3,FALSE)</f>
        <v>山田 普之</v>
      </c>
      <c r="AB9" s="351">
        <f>VLOOKUP(Y9,'登録'!$AE$2:$AH$55,4,FALSE)</f>
        <v>120</v>
      </c>
      <c r="AC9" s="298">
        <f>'★個人成績表★'!K35</f>
        <v>0</v>
      </c>
      <c r="AD9" s="295" t="str">
        <f>'★個人成績表★'!L35</f>
        <v>w</v>
      </c>
      <c r="AE9" s="295">
        <f>'★個人成績表★'!I35</f>
        <v>3</v>
      </c>
      <c r="AF9" s="294"/>
      <c r="AG9" s="295" t="str">
        <f>'★個人成績表★'!M35</f>
        <v>w</v>
      </c>
      <c r="AH9" s="295" t="str">
        <f>'★個人成績表★'!J35</f>
        <v>w</v>
      </c>
      <c r="AI9" s="280">
        <f t="shared" si="5"/>
        <v>3</v>
      </c>
      <c r="AJ9" s="278">
        <f t="shared" si="6"/>
        <v>2</v>
      </c>
      <c r="AK9" s="299">
        <f t="shared" si="7"/>
        <v>363</v>
      </c>
      <c r="AL9" s="299">
        <f>AK9*'登録'!$I$8/'★対戦リーグ表★'!AB9</f>
        <v>363</v>
      </c>
      <c r="AM9" s="295">
        <f t="shared" si="8"/>
      </c>
      <c r="AN9" s="415">
        <f t="shared" si="9"/>
        <v>363</v>
      </c>
      <c r="AO9" s="279">
        <f>AI9*100000+AL9</f>
        <v>300363</v>
      </c>
      <c r="AP9" s="351">
        <f>IF(COUNTBLANK(AC9:AH9)=6,"",RANK(AO9,AO6:AO11))</f>
        <v>3</v>
      </c>
      <c r="AQ9" s="455">
        <f>IF('結果入力表'!H163="","",'結果入力表'!H163)</f>
      </c>
      <c r="AR9" s="457">
        <f>IF('結果入力表'!E177="","",'結果入力表'!E177)</f>
        <v>114</v>
      </c>
      <c r="AS9" s="457">
        <f>IF('結果入力表'!H107="","",'結果入力表'!H107)</f>
      </c>
      <c r="AT9" s="456"/>
      <c r="AU9" s="457">
        <f>IF('結果入力表'!E191="","",'結果入力表'!E191)</f>
        <v>120</v>
      </c>
      <c r="AV9" s="458">
        <f>IF('結果入力表'!H135="","",'結果入力表'!H135)</f>
      </c>
      <c r="AX9" s="361">
        <f t="shared" si="10"/>
        <v>1</v>
      </c>
      <c r="AZ9" s="361" t="str">
        <f t="shared" si="11"/>
        <v>白戸 玲人</v>
      </c>
      <c r="BA9" s="361" t="str">
        <f t="shared" si="12"/>
        <v>NRC</v>
      </c>
      <c r="BB9" s="364">
        <f t="shared" si="17"/>
      </c>
      <c r="BC9" s="364">
        <f t="shared" si="17"/>
      </c>
      <c r="BD9" s="364">
        <f t="shared" si="17"/>
      </c>
      <c r="BE9" s="364">
        <f>IF(LEFT(W9,1)="A","A",IF(LEFT(W9,1)="B","B",W9))</f>
        <v>120</v>
      </c>
      <c r="BF9" s="364">
        <f>IF(LEFT(X9,1)="A","A",IF(LEFT(X9,1)="B","B",X9))</f>
      </c>
      <c r="BG9" s="364">
        <f>IF(LEFT(AQ41,1)="A","A",IF(LEFT(AQ41,1)="B","B",AQ41))</f>
        <v>120</v>
      </c>
      <c r="BH9" s="364">
        <f>IF(LEFT(AR41,1)="A","A",IF(LEFT(AR41,1)="B","B",AR41))</f>
      </c>
      <c r="BI9" s="364">
        <f>IF(LEFT(AS41,1)="A","A",IF(LEFT(AS41,1)="B","B",AS41))</f>
      </c>
      <c r="BJ9" s="364">
        <f>IF(LEFT(AU41,1)="A","A",IF(LEFT(AU41,1)="B","B",AU41))</f>
      </c>
      <c r="BK9" s="364">
        <f>IF(LEFT(AV41,1)="A","A",IF(LEFT(AV41,1)="B","B",AV41))</f>
      </c>
      <c r="BL9" s="361">
        <f>IF(BM9&gt;0,"A"&amp;'登録'!$I$8,IF(BN9&gt;0,"B"&amp;'登録'!$I$8,BO9))</f>
        <v>120</v>
      </c>
      <c r="BM9" s="361">
        <f t="shared" si="13"/>
        <v>0</v>
      </c>
      <c r="BN9" s="361">
        <f t="shared" si="13"/>
        <v>0</v>
      </c>
      <c r="BO9" s="361">
        <f t="shared" si="14"/>
        <v>120</v>
      </c>
      <c r="BP9" s="361">
        <f t="shared" si="15"/>
        <v>120</v>
      </c>
      <c r="BQ9" s="361"/>
      <c r="BR9" s="361" t="str">
        <f>'★個人成績表★'!B8</f>
        <v>伊庭 保久</v>
      </c>
      <c r="BS9" s="361">
        <f t="shared" si="16"/>
        <v>107</v>
      </c>
    </row>
    <row r="10" spans="1:71" s="274" customFormat="1" ht="15" customHeight="1">
      <c r="A10" s="275">
        <v>5</v>
      </c>
      <c r="B10" s="27" t="str">
        <f>IF('登録'!$B21="","",'登録'!$B21)</f>
        <v>SBC</v>
      </c>
      <c r="C10" s="368" t="str">
        <f>VLOOKUP(VALUE(A10&amp;B5),'登録'!$AE$2:$AH$55,3,FALSE)</f>
        <v>西峰 久祐</v>
      </c>
      <c r="D10" s="366">
        <f>VLOOKUP(VALUE(A10&amp;B5),'登録'!$AE$2:$AH$55,4,FALSE)</f>
        <v>120</v>
      </c>
      <c r="E10" s="298">
        <f>'★個人成績表★'!E41</f>
        <v>14</v>
      </c>
      <c r="F10" s="295">
        <f>'★個人成績表★'!D41</f>
        <v>17</v>
      </c>
      <c r="G10" s="295" t="str">
        <f>'★個人成績表★'!F41</f>
        <v>w</v>
      </c>
      <c r="H10" s="295">
        <f>'★個人成績表★'!H41</f>
        <v>45</v>
      </c>
      <c r="I10" s="294"/>
      <c r="J10" s="295">
        <f>'★個人成績表★'!G41</f>
        <v>6</v>
      </c>
      <c r="K10" s="281">
        <f t="shared" si="0"/>
        <v>1</v>
      </c>
      <c r="L10" s="282">
        <f t="shared" si="1"/>
        <v>4</v>
      </c>
      <c r="M10" s="283">
        <f t="shared" si="2"/>
        <v>202</v>
      </c>
      <c r="N10" s="283">
        <f>M10*'登録'!$I$8/'★対戦リーグ表★'!D10</f>
        <v>202</v>
      </c>
      <c r="O10" s="409">
        <f t="shared" si="3"/>
      </c>
      <c r="P10" s="415">
        <f t="shared" si="4"/>
        <v>202</v>
      </c>
      <c r="Q10" s="279">
        <f>K10*100000+N10</f>
        <v>100202</v>
      </c>
      <c r="R10" s="351">
        <f>IF(COUNTBLANK(E10:J10)=6,"",RANK(Q10,Q6:Q11))</f>
        <v>6</v>
      </c>
      <c r="S10" s="455">
        <f>IF('結果入力表'!H37="","",'結果入力表'!H37)</f>
      </c>
      <c r="T10" s="457">
        <f>IF('結果入力表'!H9="","",'結果入力表'!H9)</f>
      </c>
      <c r="U10" s="457">
        <f>IF('結果入力表'!E51="","",'結果入力表'!E51)</f>
      </c>
      <c r="V10" s="457">
        <f>IF('結果入力表'!H86="","",'結果入力表'!H86)</f>
      </c>
      <c r="W10" s="456"/>
      <c r="X10" s="458">
        <f>IF('結果入力表'!E65="","",'結果入力表'!E65)</f>
      </c>
      <c r="Y10" s="275">
        <v>55</v>
      </c>
      <c r="Z10" s="27" t="str">
        <f>IF('登録'!$B21="","",'登録'!$B21)</f>
        <v>SBC</v>
      </c>
      <c r="AA10" s="368" t="str">
        <f>VLOOKUP(Y10,'登録'!$AE$2:$AH$55,3,FALSE)</f>
        <v>高島 太一</v>
      </c>
      <c r="AB10" s="366">
        <f>VLOOKUP(Y10,'登録'!$AE$2:$AH$55,4,FALSE)</f>
        <v>120</v>
      </c>
      <c r="AC10" s="298">
        <f>'★個人成績表★'!J45</f>
        <v>15</v>
      </c>
      <c r="AD10" s="295">
        <f>'★個人成績表★'!I45</f>
        <v>3</v>
      </c>
      <c r="AE10" s="295" t="str">
        <f>'★個人成績表★'!K45</f>
        <v>w</v>
      </c>
      <c r="AF10" s="295">
        <f>'★個人成績表★'!M45</f>
        <v>84</v>
      </c>
      <c r="AG10" s="294"/>
      <c r="AH10" s="295" t="str">
        <f>'★個人成績表★'!L45</f>
        <v>w</v>
      </c>
      <c r="AI10" s="281">
        <f t="shared" si="5"/>
        <v>2</v>
      </c>
      <c r="AJ10" s="282">
        <f t="shared" si="6"/>
        <v>3</v>
      </c>
      <c r="AK10" s="283">
        <f t="shared" si="7"/>
        <v>342</v>
      </c>
      <c r="AL10" s="283">
        <f>AK10*'登録'!$I$8/'★対戦リーグ表★'!AB10</f>
        <v>342</v>
      </c>
      <c r="AM10" s="409">
        <f t="shared" si="8"/>
      </c>
      <c r="AN10" s="415">
        <f t="shared" si="9"/>
        <v>342</v>
      </c>
      <c r="AO10" s="279">
        <f>AI10*100000+AL10</f>
        <v>200342</v>
      </c>
      <c r="AP10" s="351">
        <f>IF(COUNTBLANK(AC10:AH10)=6,"",RANK(AO10,AO6:AO11))</f>
        <v>5</v>
      </c>
      <c r="AQ10" s="455">
        <f>IF('結果入力表'!H142="","",'結果入力表'!H142)</f>
      </c>
      <c r="AR10" s="457">
        <f>IF('結果入力表'!H114="","",'結果入力表'!H114)</f>
      </c>
      <c r="AS10" s="457">
        <f>IF('結果入力表'!E156="","",'結果入力表'!E156)</f>
      </c>
      <c r="AT10" s="457">
        <f>IF('結果入力表'!H191="","",'結果入力表'!H191)</f>
      </c>
      <c r="AU10" s="456"/>
      <c r="AV10" s="458">
        <f>IF('結果入力表'!E170="","",'結果入力表'!E170)</f>
      </c>
      <c r="AX10" s="361">
        <f t="shared" si="10"/>
        <v>17</v>
      </c>
      <c r="AZ10" s="361" t="str">
        <f t="shared" si="11"/>
        <v>西峰 久祐</v>
      </c>
      <c r="BA10" s="361" t="str">
        <f t="shared" si="12"/>
        <v>SBC</v>
      </c>
      <c r="BB10" s="364">
        <f t="shared" si="17"/>
      </c>
      <c r="BC10" s="364">
        <f t="shared" si="17"/>
      </c>
      <c r="BD10" s="364">
        <f t="shared" si="17"/>
      </c>
      <c r="BE10" s="364">
        <f t="shared" si="17"/>
      </c>
      <c r="BF10" s="364">
        <f>IF(LEFT(X10,1)="A","A",IF(LEFT(X10,1)="B","B",X10))</f>
      </c>
      <c r="BG10" s="364">
        <f>IF(LEFT(AQ34,1)="A","A",IF(LEFT(AQ34,1)="B","B",AQ34))</f>
      </c>
      <c r="BH10" s="364">
        <f>IF(LEFT(AR34,1)="A","A",IF(LEFT(AR34,1)="B","B",AR34))</f>
      </c>
      <c r="BI10" s="364">
        <f>IF(LEFT(AS34,1)="A","A",IF(LEFT(AS34,1)="B","B",AS34))</f>
      </c>
      <c r="BJ10" s="364">
        <f>IF(LEFT(AT34,1)="A","A",IF(LEFT(AT34,1)="B","B",AT34))</f>
      </c>
      <c r="BK10" s="364">
        <f>IF(LEFT(AV34,1)="A","A",IF(LEFT(AV34,1)="B","B",AV34))</f>
      </c>
      <c r="BL10" s="361">
        <f>IF(BM10&gt;0,"A"&amp;'登録'!$I$8,IF(BN10&gt;0,"B"&amp;'登録'!$I$8,BO10))</f>
        <v>0</v>
      </c>
      <c r="BM10" s="361">
        <f t="shared" si="13"/>
        <v>0</v>
      </c>
      <c r="BN10" s="361">
        <f t="shared" si="13"/>
        <v>0</v>
      </c>
      <c r="BO10" s="361">
        <f t="shared" si="14"/>
        <v>0</v>
      </c>
      <c r="BP10" s="361">
        <f t="shared" si="15"/>
        <v>0</v>
      </c>
      <c r="BQ10" s="361"/>
      <c r="BR10" s="361" t="str">
        <f>'★個人成績表★'!B9</f>
        <v>菊池 靖正</v>
      </c>
      <c r="BS10" s="361">
        <f t="shared" si="16"/>
        <v>0</v>
      </c>
    </row>
    <row r="11" spans="1:71" s="274" customFormat="1" ht="15" customHeight="1" thickBot="1">
      <c r="A11" s="275">
        <v>6</v>
      </c>
      <c r="B11" s="355" t="str">
        <f>IF('登録'!$B22="","",'登録'!$B22)</f>
        <v>WRC</v>
      </c>
      <c r="C11" s="369" t="str">
        <f>IF(B11="","",VLOOKUP(VALUE(A11&amp;B5),'登録'!$AE$2:$AH$55,3,FALSE))</f>
        <v>末岡　修</v>
      </c>
      <c r="D11" s="352">
        <f>IF(B11="","",VLOOKUP(VALUE(A11&amp;B5),'登録'!$AE$2:$AH$55,4,FALSE))</f>
        <v>120</v>
      </c>
      <c r="E11" s="304">
        <f>'★個人成績表★'!D50</f>
        <v>0</v>
      </c>
      <c r="F11" s="296">
        <f>'★個人成績表★'!F50</f>
        <v>28</v>
      </c>
      <c r="G11" s="296">
        <f>'★個人成績表★'!H50</f>
        <v>0</v>
      </c>
      <c r="H11" s="296">
        <f>'★個人成績表★'!E50</f>
        <v>85</v>
      </c>
      <c r="I11" s="296" t="str">
        <f>'★個人成績表★'!G50</f>
        <v>w</v>
      </c>
      <c r="J11" s="297"/>
      <c r="K11" s="284">
        <f t="shared" si="0"/>
        <v>1</v>
      </c>
      <c r="L11" s="285">
        <f t="shared" si="1"/>
        <v>4</v>
      </c>
      <c r="M11" s="293">
        <f t="shared" si="2"/>
        <v>233</v>
      </c>
      <c r="N11" s="293">
        <f>M11*'登録'!$I$8/'★対戦リーグ表★'!D11</f>
        <v>233</v>
      </c>
      <c r="O11" s="296">
        <f t="shared" si="3"/>
      </c>
      <c r="P11" s="416">
        <f t="shared" si="4"/>
        <v>233</v>
      </c>
      <c r="Q11" s="286">
        <f>IF(D11="","",K11*100000+N11)</f>
        <v>100233</v>
      </c>
      <c r="R11" s="352">
        <f>IF(COUNTBLANK(E11:J11)=6,"",RANK(Q11,Q6:Q11))</f>
        <v>5</v>
      </c>
      <c r="S11" s="459">
        <f>IF('結果入力表'!H16="","",'結果入力表'!H16)</f>
      </c>
      <c r="T11" s="460">
        <f>IF('結果入力表'!E44="","",'結果入力表'!E44)</f>
      </c>
      <c r="U11" s="460">
        <f>IF('結果入力表'!H93="","",'結果入力表'!H93)</f>
      </c>
      <c r="V11" s="460">
        <f>IF('結果入力表'!E30="","",'結果入力表'!E30)</f>
      </c>
      <c r="W11" s="460">
        <f>IF('結果入力表'!H65="","",'結果入力表'!H65)</f>
      </c>
      <c r="X11" s="461"/>
      <c r="Y11" s="275">
        <v>66</v>
      </c>
      <c r="Z11" s="355" t="str">
        <f>IF('登録'!$B22="","",'登録'!$B22)</f>
        <v>WRC</v>
      </c>
      <c r="AA11" s="369" t="str">
        <f>IF(Z11="","",VLOOKUP(Y11,'登録'!$AE$2:$AH$55,3,FALSE))</f>
        <v>中本 雅大</v>
      </c>
      <c r="AB11" s="352">
        <f>IF(Z11="","",VLOOKUP(Y11,'登録'!$AE$2:$AH$55,4,FALSE))</f>
        <v>120</v>
      </c>
      <c r="AC11" s="304">
        <f>'★個人成績表★'!I55</f>
        <v>85</v>
      </c>
      <c r="AD11" s="296">
        <f>'★個人成績表★'!K55</f>
        <v>103</v>
      </c>
      <c r="AE11" s="296">
        <f>'★個人成績表★'!M55</f>
        <v>13</v>
      </c>
      <c r="AF11" s="296">
        <f>'★個人成績表★'!J55</f>
        <v>107</v>
      </c>
      <c r="AG11" s="296">
        <f>'★個人成績表★'!L55</f>
        <v>63</v>
      </c>
      <c r="AH11" s="297"/>
      <c r="AI11" s="284">
        <f t="shared" si="5"/>
        <v>0</v>
      </c>
      <c r="AJ11" s="285">
        <f t="shared" si="6"/>
        <v>5</v>
      </c>
      <c r="AK11" s="293">
        <f t="shared" si="7"/>
        <v>371</v>
      </c>
      <c r="AL11" s="293">
        <f>AK11*'登録'!$I$8/'★対戦リーグ表★'!AB11</f>
        <v>371</v>
      </c>
      <c r="AM11" s="296">
        <f t="shared" si="8"/>
      </c>
      <c r="AN11" s="416">
        <f t="shared" si="9"/>
        <v>371</v>
      </c>
      <c r="AO11" s="286">
        <f>IF(AB11="","",AI11*100000+AL11)</f>
        <v>371</v>
      </c>
      <c r="AP11" s="352">
        <f>IF(COUNTBLANK(AC11:AH11)=6,"",RANK(AO11,AO6:AO11))</f>
        <v>6</v>
      </c>
      <c r="AQ11" s="459">
        <f>IF('結果入力表'!H121="","",'結果入力表'!H121)</f>
      </c>
      <c r="AR11" s="460">
        <f>IF('結果入力表'!E149="","",'結果入力表'!E149)</f>
      </c>
      <c r="AS11" s="460">
        <f>IF('結果入力表'!H198="","",'結果入力表'!H198)</f>
      </c>
      <c r="AT11" s="460">
        <f>IF('結果入力表'!E135="","",'結果入力表'!E135)</f>
      </c>
      <c r="AU11" s="460">
        <f>IF('結果入力表'!H170="","",'結果入力表'!H170)</f>
      </c>
      <c r="AV11" s="461"/>
      <c r="AX11" s="361">
        <f t="shared" si="10"/>
        <v>17</v>
      </c>
      <c r="AZ11" s="361" t="str">
        <f t="shared" si="11"/>
        <v>末岡　修</v>
      </c>
      <c r="BA11" s="361" t="str">
        <f t="shared" si="12"/>
        <v>WRC</v>
      </c>
      <c r="BB11" s="364">
        <f t="shared" si="17"/>
      </c>
      <c r="BC11" s="364">
        <f t="shared" si="17"/>
      </c>
      <c r="BD11" s="364">
        <f t="shared" si="17"/>
      </c>
      <c r="BE11" s="364">
        <f t="shared" si="17"/>
      </c>
      <c r="BF11" s="364">
        <f t="shared" si="17"/>
      </c>
      <c r="BG11" s="364">
        <f>IF(LEFT(AQ27,1)="A","A",IF(LEFT(AQ27,1)="B","B",AQ27))</f>
      </c>
      <c r="BH11" s="364">
        <f>IF(LEFT(AR27,1)="A","A",IF(LEFT(AR27,1)="B","B",AR27))</f>
      </c>
      <c r="BI11" s="364">
        <f>IF(LEFT(AS27,1)="A","A",IF(LEFT(AS27,1)="B","B",AS27))</f>
      </c>
      <c r="BJ11" s="364">
        <f>IF(LEFT(AT27,1)="A","A",IF(LEFT(AT27,1)="B","B",AT27))</f>
      </c>
      <c r="BK11" s="364">
        <f>IF(LEFT(AU27,1)="A","A",IF(LEFT(AU27,1)="B","B",AU27))</f>
      </c>
      <c r="BL11" s="361">
        <f>IF(BM11&gt;0,"A"&amp;'登録'!$I$8,IF(BN11&gt;0,"B"&amp;'登録'!$I$8,BO11))</f>
        <v>0</v>
      </c>
      <c r="BM11" s="361">
        <f t="shared" si="13"/>
        <v>0</v>
      </c>
      <c r="BN11" s="361">
        <f t="shared" si="13"/>
        <v>0</v>
      </c>
      <c r="BO11" s="361">
        <f t="shared" si="14"/>
        <v>0</v>
      </c>
      <c r="BP11" s="361">
        <f t="shared" si="15"/>
        <v>0</v>
      </c>
      <c r="BQ11" s="361"/>
      <c r="BR11" s="361" t="str">
        <f>'★個人成績表★'!B10</f>
        <v>田附 裕次</v>
      </c>
      <c r="BS11" s="361">
        <f t="shared" si="16"/>
        <v>108</v>
      </c>
    </row>
    <row r="12" spans="2:71" s="274" customFormat="1" ht="15" customHeight="1" thickBot="1"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8"/>
      <c r="N12" s="288"/>
      <c r="O12" s="287"/>
      <c r="P12" s="417"/>
      <c r="Q12" s="288"/>
      <c r="R12" s="287"/>
      <c r="S12" s="462"/>
      <c r="T12" s="462"/>
      <c r="U12" s="462"/>
      <c r="V12" s="462"/>
      <c r="W12" s="462"/>
      <c r="X12" s="462"/>
      <c r="Y12" s="275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8"/>
      <c r="AL12" s="288"/>
      <c r="AM12" s="287"/>
      <c r="AN12" s="417"/>
      <c r="AO12" s="288"/>
      <c r="AP12" s="287"/>
      <c r="AQ12" s="462"/>
      <c r="AR12" s="462"/>
      <c r="AS12" s="462"/>
      <c r="AT12" s="462"/>
      <c r="AU12" s="462"/>
      <c r="AV12" s="462"/>
      <c r="AX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 t="str">
        <f>'★個人成績表★'!B11</f>
        <v>森田由佳里</v>
      </c>
      <c r="BS12" s="361">
        <f t="shared" si="16"/>
        <v>0</v>
      </c>
    </row>
    <row r="13" spans="2:70" s="274" customFormat="1" ht="15" customHeight="1" thickBot="1">
      <c r="B13" s="305">
        <v>2</v>
      </c>
      <c r="C13" s="300" t="s">
        <v>89</v>
      </c>
      <c r="D13" s="419" t="s">
        <v>124</v>
      </c>
      <c r="E13" s="356" t="str">
        <f>B14</f>
        <v>KRC</v>
      </c>
      <c r="F13" s="357" t="str">
        <f>B15</f>
        <v>HRC</v>
      </c>
      <c r="G13" s="357" t="str">
        <f>B16</f>
        <v>ORC</v>
      </c>
      <c r="H13" s="357" t="str">
        <f>B17</f>
        <v>NRC</v>
      </c>
      <c r="I13" s="357" t="str">
        <f>B18</f>
        <v>SBC</v>
      </c>
      <c r="J13" s="358" t="str">
        <f>B19</f>
        <v>WRC</v>
      </c>
      <c r="K13" s="347" t="s">
        <v>93</v>
      </c>
      <c r="L13" s="290" t="s">
        <v>94</v>
      </c>
      <c r="M13" s="301" t="s">
        <v>95</v>
      </c>
      <c r="N13" s="301" t="s">
        <v>99</v>
      </c>
      <c r="O13" s="410" t="s">
        <v>28</v>
      </c>
      <c r="P13" s="290"/>
      <c r="Q13" s="291" t="s">
        <v>96</v>
      </c>
      <c r="R13" s="348" t="s">
        <v>97</v>
      </c>
      <c r="S13" s="449"/>
      <c r="T13" s="450"/>
      <c r="U13" s="450"/>
      <c r="V13" s="450"/>
      <c r="W13" s="451"/>
      <c r="X13" s="451"/>
      <c r="Y13" s="275"/>
      <c r="Z13" s="305">
        <v>2</v>
      </c>
      <c r="AA13" s="300" t="s">
        <v>89</v>
      </c>
      <c r="AB13" s="419" t="s">
        <v>119</v>
      </c>
      <c r="AC13" s="356" t="str">
        <f>$B$6</f>
        <v>KRC</v>
      </c>
      <c r="AD13" s="357" t="str">
        <f>$B$7</f>
        <v>HRC</v>
      </c>
      <c r="AE13" s="357" t="str">
        <f>$B$8</f>
        <v>ORC</v>
      </c>
      <c r="AF13" s="357" t="str">
        <f>$B$9</f>
        <v>NRC</v>
      </c>
      <c r="AG13" s="357" t="str">
        <f>$B$10</f>
        <v>SBC</v>
      </c>
      <c r="AH13" s="358" t="str">
        <f>$B$11</f>
        <v>WRC</v>
      </c>
      <c r="AI13" s="347" t="s">
        <v>93</v>
      </c>
      <c r="AJ13" s="290" t="s">
        <v>94</v>
      </c>
      <c r="AK13" s="301" t="s">
        <v>95</v>
      </c>
      <c r="AL13" s="301" t="s">
        <v>99</v>
      </c>
      <c r="AM13" s="410" t="s">
        <v>28</v>
      </c>
      <c r="AN13" s="290"/>
      <c r="AO13" s="291" t="s">
        <v>96</v>
      </c>
      <c r="AP13" s="348" t="s">
        <v>97</v>
      </c>
      <c r="AQ13" s="449"/>
      <c r="AR13" s="450"/>
      <c r="AS13" s="450"/>
      <c r="AT13" s="450"/>
      <c r="AU13" s="451"/>
      <c r="AV13" s="451"/>
      <c r="AX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</row>
    <row r="14" spans="1:70" s="274" customFormat="1" ht="15" customHeight="1" thickTop="1">
      <c r="A14" s="275">
        <v>1</v>
      </c>
      <c r="B14" s="28" t="str">
        <f aca="true" t="shared" si="18" ref="B14:B19">B6</f>
        <v>KRC</v>
      </c>
      <c r="C14" s="367" t="str">
        <f>VLOOKUP(VALUE(A14&amp;B13),'登録'!$AE$2:$AH$55,3,FALSE)</f>
        <v>今村 哲也</v>
      </c>
      <c r="D14" s="350">
        <f>VLOOKUP(VALUE(A14&amp;B13),'登録'!$AE$2:$AH$55,4,FALSE)</f>
        <v>120</v>
      </c>
      <c r="E14" s="306"/>
      <c r="F14" s="302" t="str">
        <f>'★個人成績表★'!H6</f>
        <v>w</v>
      </c>
      <c r="G14" s="302">
        <f>'★個人成績表★'!G6</f>
        <v>36</v>
      </c>
      <c r="H14" s="302" t="str">
        <f>'★個人成績表★'!F6</f>
        <v>w</v>
      </c>
      <c r="I14" s="302">
        <f>'★個人成績表★'!E6</f>
        <v>80</v>
      </c>
      <c r="J14" s="302" t="str">
        <f>'★個人成績表★'!D6</f>
        <v>w</v>
      </c>
      <c r="K14" s="349">
        <f aca="true" t="shared" si="19" ref="K14:K19">IF(COUNTBLANK(E14:J14)=6,"",COUNTIF(E14:J14,"w"))</f>
        <v>3</v>
      </c>
      <c r="L14" s="276">
        <f aca="true" t="shared" si="20" ref="L14:L19">IF(COUNTBLANK(E14:J14)=6,"",6-COUNTBLANK(E14:J14)-K14)</f>
        <v>2</v>
      </c>
      <c r="M14" s="303">
        <f aca="true" t="shared" si="21" ref="M14:M19">K14*D14+SUM(E14:J14)</f>
        <v>476</v>
      </c>
      <c r="N14" s="303">
        <f>M14*'登録'!$I$8/'★対戦リーグ表★'!D14</f>
        <v>476</v>
      </c>
      <c r="O14" s="302">
        <f aca="true" t="shared" si="22" ref="O14:O19">IF(ISERROR(N14),"",IF(M14=N14,"","*"))</f>
      </c>
      <c r="P14" s="414">
        <f aca="true" t="shared" si="23" ref="P14:P19">IF(COUNTBLANK(E14:J14)=6,"",N14)</f>
        <v>476</v>
      </c>
      <c r="Q14" s="277">
        <f>K14*100000+N14</f>
        <v>300476</v>
      </c>
      <c r="R14" s="350">
        <f>IF(COUNTBLANK(E14:J14)=6,"",RANK(Q14,Q14:Q19))</f>
        <v>3</v>
      </c>
      <c r="S14" s="452"/>
      <c r="T14" s="453">
        <f>IF('結果入力表'!E101="","",'結果入力表'!E101)</f>
      </c>
      <c r="U14" s="453">
        <f>IF('結果入力表'!E80="","",'結果入力表'!E80)</f>
      </c>
      <c r="V14" s="453">
        <f>IF('結果入力表'!E59="","",'結果入力表'!E59)</f>
      </c>
      <c r="W14" s="453">
        <f>IF('結果入力表'!E38="","",'結果入力表'!E38)</f>
      </c>
      <c r="X14" s="454">
        <f>IF('結果入力表'!E17="","",'結果入力表'!E17)</f>
      </c>
      <c r="Y14" s="275">
        <v>12</v>
      </c>
      <c r="Z14" s="28" t="str">
        <f aca="true" t="shared" si="24" ref="Z14:Z19">Z6</f>
        <v>KRC</v>
      </c>
      <c r="AA14" s="367" t="str">
        <f>VLOOKUP(Y14,'登録'!$AE$2:$AH$55,3,FALSE)</f>
        <v>今村 哲也</v>
      </c>
      <c r="AB14" s="350">
        <f>VLOOKUP(Y14,'登録'!$AE$2:$AH$55,4,FALSE)</f>
        <v>120</v>
      </c>
      <c r="AC14" s="306"/>
      <c r="AD14" s="302" t="str">
        <f>'★個人成績表★'!M6</f>
        <v>w</v>
      </c>
      <c r="AE14" s="302" t="str">
        <f>'★個人成績表★'!L6</f>
        <v>w</v>
      </c>
      <c r="AF14" s="302" t="str">
        <f>'★個人成績表★'!K6</f>
        <v>w</v>
      </c>
      <c r="AG14" s="302" t="str">
        <f>'★個人成績表★'!J6</f>
        <v>w</v>
      </c>
      <c r="AH14" s="302" t="str">
        <f>'★個人成績表★'!I6</f>
        <v>w</v>
      </c>
      <c r="AI14" s="349">
        <f aca="true" t="shared" si="25" ref="AI14:AI19">IF(COUNTBLANK(AC14:AH14)=6,"",COUNTIF(AC14:AH14,"w"))</f>
        <v>5</v>
      </c>
      <c r="AJ14" s="276">
        <f aca="true" t="shared" si="26" ref="AJ14:AJ19">IF(COUNTBLANK(AC14:AH14)=6,"",6-COUNTBLANK(AC14:AH14)-AI14)</f>
        <v>0</v>
      </c>
      <c r="AK14" s="303">
        <f aca="true" t="shared" si="27" ref="AK14:AK19">AI14*AB14+SUM(AC14:AH14)</f>
        <v>600</v>
      </c>
      <c r="AL14" s="303">
        <f>AK14*'登録'!$I$8/'★対戦リーグ表★'!AB14</f>
        <v>600</v>
      </c>
      <c r="AM14" s="302">
        <f aca="true" t="shared" si="28" ref="AM14:AM19">IF(ISERROR(AL14),"",IF(AK14=AL14,"","*"))</f>
      </c>
      <c r="AN14" s="414">
        <f aca="true" t="shared" si="29" ref="AN14:AN19">IF(COUNTBLANK(AC14:AH14)=6,"",AL14)</f>
        <v>600</v>
      </c>
      <c r="AO14" s="277">
        <f>AI14*100000+AL14</f>
        <v>500600</v>
      </c>
      <c r="AP14" s="350">
        <f>IF(COUNTBLANK(AC14:AH14)=6,"",RANK(AO14,AO14:AO19))</f>
        <v>1</v>
      </c>
      <c r="AQ14" s="452"/>
      <c r="AR14" s="453">
        <f>IF('結果入力表'!E206="","",'結果入力表'!E206)</f>
      </c>
      <c r="AS14" s="453">
        <f>IF('結果入力表'!E185="","",'結果入力表'!E185)</f>
      </c>
      <c r="AT14" s="453">
        <f>IF('結果入力表'!E164="","",'結果入力表'!E164)</f>
      </c>
      <c r="AU14" s="453">
        <f>IF('結果入力表'!E143="","",'結果入力表'!E143)</f>
      </c>
      <c r="AV14" s="454">
        <f>IF('結果入力表'!E122="","",'結果入力表'!E122)</f>
        <v>104</v>
      </c>
      <c r="AX14" s="361">
        <f aca="true" t="shared" si="30" ref="AX14:AX19">RANK(BP14,$BP$6:$BP$59)</f>
        <v>11</v>
      </c>
      <c r="AZ14" s="361" t="str">
        <f aca="true" t="shared" si="31" ref="AZ14:AZ19">C14</f>
        <v>今村 哲也</v>
      </c>
      <c r="BA14" s="361" t="str">
        <f aca="true" t="shared" si="32" ref="BA14:BA59">B14</f>
        <v>KRC</v>
      </c>
      <c r="BB14" s="364">
        <f>IF(LEFT(T14,1)="A","A",IF(LEFT(T14,1)="B","B",T14))</f>
      </c>
      <c r="BC14" s="364">
        <f>IF(LEFT(U14,1)="A","A",IF(LEFT(U14,1)="B","B",U14))</f>
      </c>
      <c r="BD14" s="364">
        <f>IF(LEFT(V14,1)="A","A",IF(LEFT(V14,1)="B","B",V14))</f>
      </c>
      <c r="BE14" s="364">
        <f>IF(LEFT(W14,1)="A","A",IF(LEFT(W14,1)="B","B",W14))</f>
      </c>
      <c r="BF14" s="364">
        <f>IF(LEFT(X14,1)="A","A",IF(LEFT(X14,1)="B","B",X14))</f>
      </c>
      <c r="BG14" s="364">
        <f>IF(LEFT(AR14,1)="A","A",IF(LEFT(AR14,1)="B","B",AR14))</f>
      </c>
      <c r="BH14" s="364">
        <f>IF(LEFT(AS14,1)="A","A",IF(LEFT(AS14,1)="B","B",AS14))</f>
      </c>
      <c r="BI14" s="364">
        <f>IF(LEFT(AT14,1)="A","A",IF(LEFT(AT14,1)="B","B",AT14))</f>
      </c>
      <c r="BJ14" s="364">
        <f>IF(LEFT(AU14,1)="A","A",IF(LEFT(AU14,1)="B","B",AU14))</f>
      </c>
      <c r="BK14" s="364">
        <f>IF(LEFT(AV14,1)="A","A",IF(LEFT(AV14,1)="B","B",AV14))</f>
        <v>104</v>
      </c>
      <c r="BL14" s="361">
        <f>IF(BM14&gt;0,"A"&amp;'登録'!$I$8,IF(BN14&gt;0,"B"&amp;'登録'!$I$8,BO14))</f>
        <v>104</v>
      </c>
      <c r="BM14" s="361">
        <f aca="true" t="shared" si="33" ref="BM14:BN19">COUNTIF($BB14:$BK14,BM$5)</f>
        <v>0</v>
      </c>
      <c r="BN14" s="361">
        <f t="shared" si="33"/>
        <v>0</v>
      </c>
      <c r="BO14" s="361">
        <f aca="true" t="shared" si="34" ref="BO14:BO59">MAX(BB14:BK14)</f>
        <v>104</v>
      </c>
      <c r="BP14" s="361">
        <f aca="true" t="shared" si="35" ref="BP14:BP19">BM14*10000+BN14*1000+BO14</f>
        <v>104</v>
      </c>
      <c r="BQ14" s="361"/>
      <c r="BR14" s="361"/>
    </row>
    <row r="15" spans="1:71" s="274" customFormat="1" ht="15" customHeight="1">
      <c r="A15" s="275">
        <v>2</v>
      </c>
      <c r="B15" s="27" t="str">
        <f t="shared" si="18"/>
        <v>HRC</v>
      </c>
      <c r="C15" s="368" t="str">
        <f>VLOOKUP(VALUE(A15&amp;B13),'登録'!$AE$2:$AH$55,3,FALSE)</f>
        <v>長井　充</v>
      </c>
      <c r="D15" s="351">
        <f>VLOOKUP(VALUE(A15&amp;B13),'登録'!$AE$2:$AH$55,4,FALSE)</f>
        <v>120</v>
      </c>
      <c r="E15" s="298">
        <f>'★個人成績表★'!H15</f>
        <v>57</v>
      </c>
      <c r="F15" s="294"/>
      <c r="G15" s="295">
        <f>'★個人成績表★'!E15</f>
        <v>34</v>
      </c>
      <c r="H15" s="295" t="str">
        <f>'★個人成績表★'!G15</f>
        <v>w</v>
      </c>
      <c r="I15" s="295" t="str">
        <f>'★個人成績表★'!D15</f>
        <v>w</v>
      </c>
      <c r="J15" s="295">
        <f>'★個人成績表★'!F15</f>
        <v>83</v>
      </c>
      <c r="K15" s="280">
        <f t="shared" si="19"/>
        <v>2</v>
      </c>
      <c r="L15" s="278">
        <f t="shared" si="20"/>
        <v>3</v>
      </c>
      <c r="M15" s="299">
        <f t="shared" si="21"/>
        <v>414</v>
      </c>
      <c r="N15" s="299">
        <f>M15*'登録'!$I$8/'★対戦リーグ表★'!D15</f>
        <v>414</v>
      </c>
      <c r="O15" s="295">
        <f t="shared" si="22"/>
      </c>
      <c r="P15" s="415">
        <f t="shared" si="23"/>
        <v>414</v>
      </c>
      <c r="Q15" s="279">
        <f>K15*100000+N15</f>
        <v>200414</v>
      </c>
      <c r="R15" s="351">
        <f>IF(COUNTBLANK(E15:J15)=6,"",RANK(Q15,Q14:Q19))</f>
        <v>4</v>
      </c>
      <c r="S15" s="455">
        <f>IF('結果入力表'!H101="","",'結果入力表'!H101)</f>
      </c>
      <c r="T15" s="456"/>
      <c r="U15" s="457">
        <f>IF('結果入力表'!E24="","",'結果入力表'!E24)</f>
      </c>
      <c r="V15" s="457">
        <f>IF('結果入力表'!H73="","",'結果入力表'!H73)</f>
      </c>
      <c r="W15" s="457">
        <f>IF('結果入力表'!E10="","",'結果入力表'!E10)</f>
      </c>
      <c r="X15" s="458">
        <f>IF('結果入力表'!H45="","",'結果入力表'!H45)</f>
      </c>
      <c r="Y15" s="275">
        <v>23</v>
      </c>
      <c r="Z15" s="27" t="str">
        <f t="shared" si="24"/>
        <v>HRC</v>
      </c>
      <c r="AA15" s="368" t="str">
        <f>VLOOKUP(Y15,'登録'!$AE$2:$AH$55,3,FALSE)</f>
        <v>藤中健太郎</v>
      </c>
      <c r="AB15" s="351">
        <f>VLOOKUP(Y15,'登録'!$AE$2:$AH$55,4,FALSE)</f>
        <v>120</v>
      </c>
      <c r="AC15" s="298">
        <f>'★個人成績表★'!M16</f>
        <v>13</v>
      </c>
      <c r="AD15" s="294"/>
      <c r="AE15" s="295" t="str">
        <f>'★個人成績表★'!J16</f>
        <v>w</v>
      </c>
      <c r="AF15" s="295">
        <f>'★個人成績表★'!L16</f>
        <v>50</v>
      </c>
      <c r="AG15" s="295" t="str">
        <f>'★個人成績表★'!I16</f>
        <v>w</v>
      </c>
      <c r="AH15" s="295">
        <f>'★個人成績表★'!K16</f>
        <v>2</v>
      </c>
      <c r="AI15" s="280">
        <f t="shared" si="25"/>
        <v>2</v>
      </c>
      <c r="AJ15" s="278">
        <f t="shared" si="26"/>
        <v>3</v>
      </c>
      <c r="AK15" s="299">
        <f t="shared" si="27"/>
        <v>305</v>
      </c>
      <c r="AL15" s="299">
        <f>AK15*'登録'!$I$8/'★対戦リーグ表★'!AB15</f>
        <v>305</v>
      </c>
      <c r="AM15" s="295">
        <f t="shared" si="28"/>
      </c>
      <c r="AN15" s="415">
        <f t="shared" si="29"/>
        <v>305</v>
      </c>
      <c r="AO15" s="279">
        <f>AI15*100000+AL15</f>
        <v>200305</v>
      </c>
      <c r="AP15" s="351">
        <f>IF(COUNTBLANK(AC15:AH15)=6,"",RANK(AO15,AO14:AO19))</f>
        <v>4</v>
      </c>
      <c r="AQ15" s="455">
        <f>IF('結果入力表'!H206="","",'結果入力表'!H206)</f>
      </c>
      <c r="AR15" s="456"/>
      <c r="AS15" s="457">
        <f>IF('結果入力表'!E129="","",'結果入力表'!E129)</f>
        <v>100</v>
      </c>
      <c r="AT15" s="457">
        <f>IF('結果入力表'!H178="","",'結果入力表'!H178)</f>
      </c>
      <c r="AU15" s="457">
        <f>IF('結果入力表'!E115="","",'結果入力表'!E115)</f>
      </c>
      <c r="AV15" s="458">
        <f>IF('結果入力表'!H150="","",'結果入力表'!H150)</f>
      </c>
      <c r="AX15" s="361">
        <f t="shared" si="30"/>
        <v>15</v>
      </c>
      <c r="AZ15" s="361" t="str">
        <f t="shared" si="31"/>
        <v>長井　充</v>
      </c>
      <c r="BA15" s="361" t="str">
        <f t="shared" si="32"/>
        <v>HRC</v>
      </c>
      <c r="BB15" s="364">
        <f>IF(LEFT(S15,1)="A","A",IF(LEFT(S15,1)="B","B",S15))</f>
      </c>
      <c r="BC15" s="364">
        <f>IF(LEFT(U15,1)="A","A",IF(LEFT(U15,1)="B","B",U15))</f>
      </c>
      <c r="BD15" s="364">
        <f>IF(LEFT(V15,1)="A","A",IF(LEFT(V15,1)="B","B",V15))</f>
      </c>
      <c r="BE15" s="364">
        <f>IF(LEFT(W15,1)="A","A",IF(LEFT(W15,1)="B","B",W15))</f>
      </c>
      <c r="BF15" s="364">
        <f>IF(LEFT(X15,1)="A","A",IF(LEFT(X15,1)="B","B",X15))</f>
      </c>
      <c r="BG15" s="364">
        <f>IF(LEFT(AQ7,1)="A","A",IF(LEFT(AQ7,1)="B","B",AQ7))</f>
      </c>
      <c r="BH15" s="364">
        <f>IF(LEFT(AS7,1)="A","A",IF(LEFT(AS7,1)="B","B",AS7))</f>
      </c>
      <c r="BI15" s="364">
        <f>IF(LEFT(AT7,1)="A","A",IF(LEFT(AT7,1)="B","B",AT7))</f>
      </c>
      <c r="BJ15" s="364">
        <f>IF(LEFT(AU7,1)="A","A",IF(LEFT(AU7,1)="B","B",AU7))</f>
        <v>100</v>
      </c>
      <c r="BK15" s="364">
        <f>IF(LEFT(AV7,1)="A","A",IF(LEFT(AV7,1)="B","B",AV7))</f>
      </c>
      <c r="BL15" s="361">
        <f>IF(BM15&gt;0,"A"&amp;'登録'!$I$8,IF(BN15&gt;0,"B"&amp;'登録'!$I$8,BO15))</f>
        <v>100</v>
      </c>
      <c r="BM15" s="361">
        <f t="shared" si="33"/>
        <v>0</v>
      </c>
      <c r="BN15" s="361">
        <f t="shared" si="33"/>
        <v>0</v>
      </c>
      <c r="BO15" s="361">
        <f t="shared" si="34"/>
        <v>100</v>
      </c>
      <c r="BP15" s="361">
        <f t="shared" si="35"/>
        <v>100</v>
      </c>
      <c r="BQ15" s="361"/>
      <c r="BR15" s="361" t="str">
        <f>'★個人成績表★'!B14</f>
        <v>堂園 雅也</v>
      </c>
      <c r="BS15" s="361">
        <f aca="true" t="shared" si="36" ref="BS15:BS21">VLOOKUP(BR15,$AZ$6:$BL$59,13,FALSE)</f>
        <v>120</v>
      </c>
    </row>
    <row r="16" spans="1:71" s="274" customFormat="1" ht="15" customHeight="1">
      <c r="A16" s="275">
        <v>3</v>
      </c>
      <c r="B16" s="27" t="str">
        <f t="shared" si="18"/>
        <v>ORC</v>
      </c>
      <c r="C16" s="368" t="str">
        <f>VLOOKUP(VALUE(A16&amp;B13),'登録'!$AE$2:$AH$55,3,FALSE)</f>
        <v>乾　伸綱</v>
      </c>
      <c r="D16" s="351">
        <f>VLOOKUP(VALUE(A16&amp;B13),'登録'!$AE$2:$AH$55,4,FALSE)</f>
        <v>120</v>
      </c>
      <c r="E16" s="298" t="str">
        <f>'★個人成績表★'!G24</f>
        <v>w</v>
      </c>
      <c r="F16" s="295" t="str">
        <f>'★個人成績表★'!E24</f>
        <v>w</v>
      </c>
      <c r="G16" s="294"/>
      <c r="H16" s="295" t="str">
        <f>'★個人成績表★'!D24</f>
        <v>w</v>
      </c>
      <c r="I16" s="295" t="str">
        <f>'★個人成績表★'!F24</f>
        <v>w</v>
      </c>
      <c r="J16" s="295">
        <f>'★個人成績表★'!H24</f>
        <v>65</v>
      </c>
      <c r="K16" s="280">
        <f t="shared" si="19"/>
        <v>4</v>
      </c>
      <c r="L16" s="278">
        <f t="shared" si="20"/>
        <v>1</v>
      </c>
      <c r="M16" s="299">
        <f t="shared" si="21"/>
        <v>545</v>
      </c>
      <c r="N16" s="299">
        <f>M16*'登録'!$I$8/'★対戦リーグ表★'!D16</f>
        <v>545</v>
      </c>
      <c r="O16" s="295">
        <f t="shared" si="22"/>
      </c>
      <c r="P16" s="415">
        <f t="shared" si="23"/>
        <v>545</v>
      </c>
      <c r="Q16" s="279">
        <f>K16*100000+N16</f>
        <v>400545</v>
      </c>
      <c r="R16" s="351">
        <f>IF(COUNTBLANK(E16:J16)=6,"",RANK(Q16,Q14:Q19))</f>
        <v>2</v>
      </c>
      <c r="S16" s="455">
        <f>IF('結果入力表'!H80="","",'結果入力表'!H80)</f>
      </c>
      <c r="T16" s="457">
        <f>IF('結果入力表'!H24="","",'結果入力表'!H24)</f>
      </c>
      <c r="U16" s="456"/>
      <c r="V16" s="457">
        <f>IF('結果入力表'!E3="","",'結果入力表'!E3)</f>
        <v>118</v>
      </c>
      <c r="W16" s="457">
        <f>IF('結果入力表'!H52="","",'結果入力表'!H52)</f>
      </c>
      <c r="X16" s="458">
        <f>IF('結果入力表'!E94="","",'結果入力表'!E94)</f>
      </c>
      <c r="Y16" s="275">
        <v>34</v>
      </c>
      <c r="Z16" s="27" t="str">
        <f t="shared" si="24"/>
        <v>ORC</v>
      </c>
      <c r="AA16" s="368" t="str">
        <f>VLOOKUP(Y16,'登録'!$AE$2:$AH$55,3,FALSE)</f>
        <v>山田 玄英</v>
      </c>
      <c r="AB16" s="351">
        <f>VLOOKUP(Y16,'登録'!$AE$2:$AH$55,4,FALSE)</f>
        <v>120</v>
      </c>
      <c r="AC16" s="298">
        <f>'★個人成績表★'!L26</f>
        <v>0</v>
      </c>
      <c r="AD16" s="295">
        <f>'★個人成績表★'!J26</f>
        <v>12</v>
      </c>
      <c r="AE16" s="294"/>
      <c r="AF16" s="295" t="str">
        <f>'★個人成績表★'!I26</f>
        <v>w</v>
      </c>
      <c r="AG16" s="295" t="str">
        <f>'★個人成績表★'!K26</f>
        <v>w</v>
      </c>
      <c r="AH16" s="295">
        <f>'★個人成績表★'!M26</f>
        <v>52</v>
      </c>
      <c r="AI16" s="280">
        <f t="shared" si="25"/>
        <v>2</v>
      </c>
      <c r="AJ16" s="278">
        <f t="shared" si="26"/>
        <v>3</v>
      </c>
      <c r="AK16" s="299">
        <f t="shared" si="27"/>
        <v>304</v>
      </c>
      <c r="AL16" s="299">
        <f>AK16*'登録'!$I$8/'★対戦リーグ表★'!AB16</f>
        <v>304</v>
      </c>
      <c r="AM16" s="295">
        <f t="shared" si="28"/>
      </c>
      <c r="AN16" s="415">
        <f t="shared" si="29"/>
        <v>304</v>
      </c>
      <c r="AO16" s="279">
        <f>AI16*100000+AL16</f>
        <v>200304</v>
      </c>
      <c r="AP16" s="351">
        <f>IF(COUNTBLANK(AC16:AH16)=6,"",RANK(AO16,AO14:AO19))</f>
        <v>5</v>
      </c>
      <c r="AQ16" s="455">
        <f>IF('結果入力表'!H185="","",'結果入力表'!H185)</f>
      </c>
      <c r="AR16" s="457">
        <f>IF('結果入力表'!H129="","",'結果入力表'!H129)</f>
      </c>
      <c r="AS16" s="456"/>
      <c r="AT16" s="457">
        <f>IF('結果入力表'!E108="","",'結果入力表'!E108)</f>
      </c>
      <c r="AU16" s="457">
        <f>IF('結果入力表'!H157="","",'結果入力表'!H157)</f>
      </c>
      <c r="AV16" s="458">
        <f>IF('結果入力表'!E199="","",'結果入力表'!E199)</f>
      </c>
      <c r="AX16" s="361">
        <f t="shared" si="30"/>
        <v>5</v>
      </c>
      <c r="AZ16" s="361" t="str">
        <f t="shared" si="31"/>
        <v>乾　伸綱</v>
      </c>
      <c r="BA16" s="361" t="str">
        <f t="shared" si="32"/>
        <v>ORC</v>
      </c>
      <c r="BB16" s="364">
        <f>IF(LEFT(S16,1)="A","A",IF(LEFT(S16,1)="B","B",S16))</f>
      </c>
      <c r="BC16" s="364">
        <f>IF(LEFT(T16,1)="A","A",IF(LEFT(T16,1)="B","B",T16))</f>
      </c>
      <c r="BD16" s="364">
        <f>IF(LEFT(V16,1)="A","A",IF(LEFT(V16,1)="B","B",V16))</f>
        <v>118</v>
      </c>
      <c r="BE16" s="364">
        <f>IF(LEFT(W16,1)="A","A",IF(LEFT(W16,1)="B","B",W16))</f>
      </c>
      <c r="BF16" s="364">
        <f>IF(LEFT(X16,1)="A","A",IF(LEFT(X16,1)="B","B",X16))</f>
      </c>
      <c r="BG16" s="364">
        <f>IF(LEFT(AQ56,1)="A","A",IF(LEFT(AQ56,1)="B","B",AQ56))</f>
      </c>
      <c r="BH16" s="364">
        <f>IF(LEFT(AR56,1)="A","A",IF(LEFT(AR56,1)="B","B",AR56))</f>
      </c>
      <c r="BI16" s="364">
        <f>IF(LEFT(AT56,1)="A","A",IF(LEFT(AT56,1)="B","B",AT56))</f>
      </c>
      <c r="BJ16" s="364">
        <f>IF(LEFT(AU56,1)="A","A",IF(LEFT(AU56,1)="B","B",AU56))</f>
      </c>
      <c r="BK16" s="364">
        <f>IF(LEFT(AV56,1)="A","A",IF(LEFT(AV56,1)="B","B",AV56))</f>
      </c>
      <c r="BL16" s="361">
        <f>IF(BM16&gt;0,"A"&amp;'登録'!$I$8,IF(BN16&gt;0,"B"&amp;'登録'!$I$8,BO16))</f>
        <v>118</v>
      </c>
      <c r="BM16" s="361">
        <f t="shared" si="33"/>
        <v>0</v>
      </c>
      <c r="BN16" s="361">
        <f t="shared" si="33"/>
        <v>0</v>
      </c>
      <c r="BO16" s="361">
        <f t="shared" si="34"/>
        <v>118</v>
      </c>
      <c r="BP16" s="361">
        <f t="shared" si="35"/>
        <v>118</v>
      </c>
      <c r="BQ16" s="361"/>
      <c r="BR16" s="361" t="str">
        <f>'★個人成績表★'!B15</f>
        <v>長井　充</v>
      </c>
      <c r="BS16" s="361">
        <f t="shared" si="36"/>
        <v>100</v>
      </c>
    </row>
    <row r="17" spans="1:71" s="274" customFormat="1" ht="15" customHeight="1">
      <c r="A17" s="275">
        <v>4</v>
      </c>
      <c r="B17" s="27" t="str">
        <f t="shared" si="18"/>
        <v>NRC</v>
      </c>
      <c r="C17" s="368" t="str">
        <f>VLOOKUP(VALUE(A17&amp;B13),'登録'!$AE$2:$AH$55,3,FALSE)</f>
        <v>近藤 拓馬</v>
      </c>
      <c r="D17" s="351">
        <f>VLOOKUP(VALUE(A17&amp;B13),'登録'!$AE$2:$AH$55,4,FALSE)</f>
        <v>120</v>
      </c>
      <c r="E17" s="298">
        <f>'★個人成績表★'!F33</f>
        <v>106</v>
      </c>
      <c r="F17" s="295">
        <f>'★個人成績表★'!G33</f>
        <v>52</v>
      </c>
      <c r="G17" s="295">
        <f>'★個人成績表★'!D33</f>
        <v>12</v>
      </c>
      <c r="H17" s="294"/>
      <c r="I17" s="295">
        <f>'★個人成績表★'!H33</f>
        <v>91</v>
      </c>
      <c r="J17" s="295">
        <f>'★個人成績表★'!E33</f>
        <v>43</v>
      </c>
      <c r="K17" s="280">
        <f t="shared" si="19"/>
        <v>0</v>
      </c>
      <c r="L17" s="278">
        <f t="shared" si="20"/>
        <v>5</v>
      </c>
      <c r="M17" s="299">
        <f t="shared" si="21"/>
        <v>304</v>
      </c>
      <c r="N17" s="299">
        <f>M17*'登録'!$I$8/'★対戦リーグ表★'!D17</f>
        <v>304</v>
      </c>
      <c r="O17" s="295">
        <f t="shared" si="22"/>
      </c>
      <c r="P17" s="415">
        <f t="shared" si="23"/>
        <v>304</v>
      </c>
      <c r="Q17" s="279">
        <f>K17*100000+N17</f>
        <v>304</v>
      </c>
      <c r="R17" s="351">
        <f>IF(COUNTBLANK(E17:J17)=6,"",RANK(Q17,Q14:Q19))</f>
        <v>6</v>
      </c>
      <c r="S17" s="455">
        <f>IF('結果入力表'!H59="","",'結果入力表'!H59)</f>
      </c>
      <c r="T17" s="457">
        <f>IF('結果入力表'!E73="","",'結果入力表'!E73)</f>
      </c>
      <c r="U17" s="457">
        <f>IF('結果入力表'!H3="","",'結果入力表'!H3)</f>
      </c>
      <c r="V17" s="456"/>
      <c r="W17" s="457">
        <f>IF('結果入力表'!E87="","",'結果入力表'!E87)</f>
      </c>
      <c r="X17" s="458">
        <f>IF('結果入力表'!H31="","",'結果入力表'!H31)</f>
      </c>
      <c r="Y17" s="275">
        <v>45</v>
      </c>
      <c r="Z17" s="27" t="str">
        <f t="shared" si="24"/>
        <v>NRC</v>
      </c>
      <c r="AA17" s="368" t="str">
        <f>VLOOKUP(Y17,'登録'!$AE$2:$AH$55,3,FALSE)</f>
        <v>山田 晃司</v>
      </c>
      <c r="AB17" s="351">
        <f>VLOOKUP(Y17,'登録'!$AE$2:$AH$55,4,FALSE)</f>
        <v>120</v>
      </c>
      <c r="AC17" s="298">
        <f>'★個人成績表★'!K36</f>
        <v>16</v>
      </c>
      <c r="AD17" s="295" t="str">
        <f>'★個人成績表★'!L36</f>
        <v>w</v>
      </c>
      <c r="AE17" s="295">
        <f>'★個人成績表★'!I36</f>
        <v>21</v>
      </c>
      <c r="AF17" s="294"/>
      <c r="AG17" s="295" t="str">
        <f>'★個人成績表★'!M36</f>
        <v>w</v>
      </c>
      <c r="AH17" s="295" t="str">
        <f>'★個人成績表★'!J36</f>
        <v>w</v>
      </c>
      <c r="AI17" s="280">
        <f t="shared" si="25"/>
        <v>3</v>
      </c>
      <c r="AJ17" s="278">
        <f t="shared" si="26"/>
        <v>2</v>
      </c>
      <c r="AK17" s="299">
        <f t="shared" si="27"/>
        <v>397</v>
      </c>
      <c r="AL17" s="299">
        <f>AK17*'登録'!$I$8/'★対戦リーグ表★'!AB17</f>
        <v>397</v>
      </c>
      <c r="AM17" s="295">
        <f t="shared" si="28"/>
      </c>
      <c r="AN17" s="415">
        <f t="shared" si="29"/>
        <v>397</v>
      </c>
      <c r="AO17" s="279">
        <f>AI17*100000+AL17</f>
        <v>300397</v>
      </c>
      <c r="AP17" s="351">
        <f>IF(COUNTBLANK(AC17:AH17)=6,"",RANK(AO17,AO14:AO19))</f>
        <v>2</v>
      </c>
      <c r="AQ17" s="455">
        <f>IF('結果入力表'!H164="","",'結果入力表'!H164)</f>
      </c>
      <c r="AR17" s="457">
        <f>IF('結果入力表'!E178="","",'結果入力表'!E178)</f>
      </c>
      <c r="AS17" s="457">
        <f>IF('結果入力表'!H108="","",'結果入力表'!H108)</f>
      </c>
      <c r="AT17" s="456"/>
      <c r="AU17" s="457">
        <f>IF('結果入力表'!E192="","",'結果入力表'!E192)</f>
      </c>
      <c r="AV17" s="458">
        <f>IF('結果入力表'!H136="","",'結果入力表'!H136)</f>
      </c>
      <c r="AX17" s="361">
        <f t="shared" si="30"/>
        <v>17</v>
      </c>
      <c r="AZ17" s="361" t="str">
        <f t="shared" si="31"/>
        <v>近藤 拓馬</v>
      </c>
      <c r="BA17" s="361" t="str">
        <f t="shared" si="32"/>
        <v>NRC</v>
      </c>
      <c r="BB17" s="364">
        <f>IF(LEFT(S17,1)="A","A",IF(LEFT(S17,1)="B","B",S17))</f>
      </c>
      <c r="BC17" s="364">
        <f>IF(LEFT(T17,1)="A","A",IF(LEFT(T17,1)="B","B",T17))</f>
      </c>
      <c r="BD17" s="364">
        <f>IF(LEFT(U17,1)="A","A",IF(LEFT(U17,1)="B","B",U17))</f>
      </c>
      <c r="BE17" s="364">
        <f>IF(LEFT(W17,1)="A","A",IF(LEFT(W17,1)="B","B",W17))</f>
      </c>
      <c r="BF17" s="364">
        <f>IF(LEFT(X17,1)="A","A",IF(LEFT(X17,1)="B","B",X17))</f>
      </c>
      <c r="BG17" s="364">
        <f>IF(LEFT(AQ49,1)="A","A",IF(LEFT(AQ49,1)="B","B",AQ49))</f>
      </c>
      <c r="BH17" s="364">
        <f>IF(LEFT(AR49,1)="A","A",IF(LEFT(AR49,1)="B","B",AR49))</f>
      </c>
      <c r="BI17" s="364">
        <f>IF(LEFT(AS49,1)="A","A",IF(LEFT(AS49,1)="B","B",AS49))</f>
      </c>
      <c r="BJ17" s="364">
        <f>IF(LEFT(AU49,1)="A","A",IF(LEFT(AU49,1)="B","B",AU49))</f>
      </c>
      <c r="BK17" s="364">
        <f>IF(LEFT(AV49,1)="A","A",IF(LEFT(AV49,1)="B","B",AV49))</f>
      </c>
      <c r="BL17" s="361">
        <f>IF(BM17&gt;0,"A"&amp;'登録'!$I$8,IF(BN17&gt;0,"B"&amp;'登録'!$I$8,BO17))</f>
        <v>0</v>
      </c>
      <c r="BM17" s="361">
        <f t="shared" si="33"/>
        <v>0</v>
      </c>
      <c r="BN17" s="361">
        <f t="shared" si="33"/>
        <v>0</v>
      </c>
      <c r="BO17" s="361">
        <f t="shared" si="34"/>
        <v>0</v>
      </c>
      <c r="BP17" s="361">
        <f t="shared" si="35"/>
        <v>0</v>
      </c>
      <c r="BQ17" s="361"/>
      <c r="BR17" s="361" t="str">
        <f>'★個人成績表★'!B16</f>
        <v>藤中健太郎</v>
      </c>
      <c r="BS17" s="361">
        <f t="shared" si="36"/>
        <v>100</v>
      </c>
    </row>
    <row r="18" spans="1:71" s="274" customFormat="1" ht="15" customHeight="1">
      <c r="A18" s="275">
        <v>5</v>
      </c>
      <c r="B18" s="27" t="str">
        <f t="shared" si="18"/>
        <v>SBC</v>
      </c>
      <c r="C18" s="368" t="str">
        <f>VLOOKUP(VALUE(A18&amp;B13),'登録'!$AE$2:$AH$55,3,FALSE)</f>
        <v>長田 智紀</v>
      </c>
      <c r="D18" s="366">
        <f>VLOOKUP(VALUE(A18&amp;B13),'登録'!$AE$2:$AH$55,4,FALSE)</f>
        <v>120</v>
      </c>
      <c r="E18" s="298" t="str">
        <f>'★個人成績表★'!E42</f>
        <v>w</v>
      </c>
      <c r="F18" s="295">
        <f>'★個人成績表★'!D42</f>
        <v>30</v>
      </c>
      <c r="G18" s="295">
        <f>'★個人成績表★'!F42</f>
        <v>12</v>
      </c>
      <c r="H18" s="295" t="str">
        <f>'★個人成績表★'!H42</f>
        <v>w</v>
      </c>
      <c r="I18" s="294"/>
      <c r="J18" s="295">
        <f>'★個人成績表★'!G42</f>
        <v>79</v>
      </c>
      <c r="K18" s="281">
        <f t="shared" si="19"/>
        <v>2</v>
      </c>
      <c r="L18" s="282">
        <f t="shared" si="20"/>
        <v>3</v>
      </c>
      <c r="M18" s="283">
        <f t="shared" si="21"/>
        <v>361</v>
      </c>
      <c r="N18" s="283">
        <f>M18*'登録'!$I$8/'★対戦リーグ表★'!D18</f>
        <v>361</v>
      </c>
      <c r="O18" s="409">
        <f t="shared" si="22"/>
      </c>
      <c r="P18" s="415">
        <f t="shared" si="23"/>
        <v>361</v>
      </c>
      <c r="Q18" s="279">
        <f>K18*100000+N18</f>
        <v>200361</v>
      </c>
      <c r="R18" s="351">
        <f>IF(COUNTBLANK(E18:J18)=6,"",RANK(Q18,Q14:Q19))</f>
        <v>5</v>
      </c>
      <c r="S18" s="455">
        <f>IF('結果入力表'!H38="","",'結果入力表'!H38)</f>
      </c>
      <c r="T18" s="457">
        <f>IF('結果入力表'!H10="","",'結果入力表'!H10)</f>
      </c>
      <c r="U18" s="457">
        <f>IF('結果入力表'!E52="","",'結果入力表'!E52)</f>
      </c>
      <c r="V18" s="457">
        <f>IF('結果入力表'!H87="","",'結果入力表'!H87)</f>
      </c>
      <c r="W18" s="456"/>
      <c r="X18" s="458">
        <f>IF('結果入力表'!E66="","",'結果入力表'!E66)</f>
      </c>
      <c r="Y18" s="275">
        <v>56</v>
      </c>
      <c r="Z18" s="27" t="str">
        <f t="shared" si="24"/>
        <v>SBC</v>
      </c>
      <c r="AA18" s="368" t="str">
        <f>VLOOKUP(Y18,'登録'!$AE$2:$AH$55,3,FALSE)</f>
        <v>須藤 浩章</v>
      </c>
      <c r="AB18" s="366">
        <f>VLOOKUP(Y18,'登録'!$AE$2:$AH$55,4,FALSE)</f>
        <v>120</v>
      </c>
      <c r="AC18" s="298">
        <f>'★個人成績表★'!J46</f>
        <v>65</v>
      </c>
      <c r="AD18" s="295">
        <f>'★個人成績表★'!I46</f>
        <v>65</v>
      </c>
      <c r="AE18" s="295">
        <f>'★個人成績表★'!K46</f>
        <v>84</v>
      </c>
      <c r="AF18" s="295">
        <f>'★個人成績表★'!M46</f>
        <v>100</v>
      </c>
      <c r="AG18" s="294"/>
      <c r="AH18" s="295" t="str">
        <f>'★個人成績表★'!L46</f>
        <v>w</v>
      </c>
      <c r="AI18" s="281">
        <f t="shared" si="25"/>
        <v>1</v>
      </c>
      <c r="AJ18" s="282">
        <f t="shared" si="26"/>
        <v>4</v>
      </c>
      <c r="AK18" s="283">
        <f t="shared" si="27"/>
        <v>434</v>
      </c>
      <c r="AL18" s="283">
        <f>AK18*'登録'!$I$8/'★対戦リーグ表★'!AB18</f>
        <v>434</v>
      </c>
      <c r="AM18" s="409">
        <f t="shared" si="28"/>
      </c>
      <c r="AN18" s="415">
        <f t="shared" si="29"/>
        <v>434</v>
      </c>
      <c r="AO18" s="279">
        <f>AI18*100000+AL18</f>
        <v>100434</v>
      </c>
      <c r="AP18" s="351">
        <f>IF(COUNTBLANK(AC18:AH18)=6,"",RANK(AO18,AO14:AO19))</f>
        <v>6</v>
      </c>
      <c r="AQ18" s="455">
        <f>IF('結果入力表'!H143="","",'結果入力表'!H143)</f>
      </c>
      <c r="AR18" s="457">
        <f>IF('結果入力表'!H115="","",'結果入力表'!H115)</f>
      </c>
      <c r="AS18" s="457">
        <f>IF('結果入力表'!E157="","",'結果入力表'!E157)</f>
      </c>
      <c r="AT18" s="457">
        <f>IF('結果入力表'!H192="","",'結果入力表'!H192)</f>
      </c>
      <c r="AU18" s="456"/>
      <c r="AV18" s="458">
        <f>IF('結果入力表'!E171="","",'結果入力表'!E171)</f>
      </c>
      <c r="AX18" s="361">
        <f t="shared" si="30"/>
        <v>17</v>
      </c>
      <c r="AZ18" s="361" t="str">
        <f t="shared" si="31"/>
        <v>長田 智紀</v>
      </c>
      <c r="BA18" s="361" t="str">
        <f t="shared" si="32"/>
        <v>SBC</v>
      </c>
      <c r="BB18" s="364">
        <f>IF(LEFT(S18,1)="A","A",IF(LEFT(S18,1)="B","B",S18))</f>
      </c>
      <c r="BC18" s="364">
        <f>IF(LEFT(T18,1)="A","A",IF(LEFT(T18,1)="B","B",T18))</f>
      </c>
      <c r="BD18" s="364">
        <f>IF(LEFT(U18,1)="A","A",IF(LEFT(U18,1)="B","B",U18))</f>
      </c>
      <c r="BE18" s="364">
        <f>IF(LEFT(V18,1)="A","A",IF(LEFT(V18,1)="B","B",V18))</f>
      </c>
      <c r="BF18" s="364">
        <f>IF(LEFT(X18,1)="A","A",IF(LEFT(X18,1)="B","B",X18))</f>
      </c>
      <c r="BG18" s="364">
        <f>IF(LEFT(AQ42,1)="A","A",IF(LEFT(AQ42,1)="B","B",AQ42))</f>
      </c>
      <c r="BH18" s="364">
        <f>IF(LEFT(AR42,1)="A","A",IF(LEFT(AR42,1)="B","B",AR42))</f>
      </c>
      <c r="BI18" s="364">
        <f>IF(LEFT(AS42,1)="A","A",IF(LEFT(AS42,1)="B","B",AS42))</f>
      </c>
      <c r="BJ18" s="364">
        <f>IF(LEFT(AT42,1)="A","A",IF(LEFT(AT42,1)="B","B",AT42))</f>
      </c>
      <c r="BK18" s="364">
        <f>IF(LEFT(AV42,1)="A","A",IF(LEFT(AV42,1)="B","B",AV42))</f>
      </c>
      <c r="BL18" s="361">
        <f>IF(BM18&gt;0,"A"&amp;'登録'!$I$8,IF(BN18&gt;0,"B"&amp;'登録'!$I$8,BO18))</f>
        <v>0</v>
      </c>
      <c r="BM18" s="361">
        <f t="shared" si="33"/>
        <v>0</v>
      </c>
      <c r="BN18" s="361">
        <f t="shared" si="33"/>
        <v>0</v>
      </c>
      <c r="BO18" s="361">
        <f t="shared" si="34"/>
        <v>0</v>
      </c>
      <c r="BP18" s="361">
        <f t="shared" si="35"/>
        <v>0</v>
      </c>
      <c r="BQ18" s="361"/>
      <c r="BR18" s="361" t="str">
        <f>'★個人成績表★'!B17</f>
        <v>後藤 勇治</v>
      </c>
      <c r="BS18" s="361">
        <f t="shared" si="36"/>
        <v>0</v>
      </c>
    </row>
    <row r="19" spans="1:71" s="274" customFormat="1" ht="15" customHeight="1" thickBot="1">
      <c r="A19" s="275">
        <v>6</v>
      </c>
      <c r="B19" s="355" t="str">
        <f t="shared" si="18"/>
        <v>WRC</v>
      </c>
      <c r="C19" s="369" t="str">
        <f>IF(B19="","",VLOOKUP(VALUE(A19&amp;B13),'登録'!$AE$2:$AH$55,3,FALSE))</f>
        <v>杉本 博章</v>
      </c>
      <c r="D19" s="352">
        <f>IF(B19="","",VLOOKUP(VALUE(A19&amp;B13),'登録'!$AE$2:$AH$55,4,FALSE))</f>
        <v>120</v>
      </c>
      <c r="E19" s="304">
        <f>'★個人成績表★'!D51</f>
        <v>67</v>
      </c>
      <c r="F19" s="296" t="str">
        <f>'★個人成績表★'!F51</f>
        <v>w</v>
      </c>
      <c r="G19" s="296" t="str">
        <f>'★個人成績表★'!H51</f>
        <v>w</v>
      </c>
      <c r="H19" s="296" t="str">
        <f>'★個人成績表★'!E51</f>
        <v>w</v>
      </c>
      <c r="I19" s="296" t="str">
        <f>'★個人成績表★'!G51</f>
        <v>w</v>
      </c>
      <c r="J19" s="297"/>
      <c r="K19" s="284">
        <f t="shared" si="19"/>
        <v>4</v>
      </c>
      <c r="L19" s="285">
        <f t="shared" si="20"/>
        <v>1</v>
      </c>
      <c r="M19" s="293">
        <f t="shared" si="21"/>
        <v>547</v>
      </c>
      <c r="N19" s="293">
        <f>M19*'登録'!$I$8/'★対戦リーグ表★'!D19</f>
        <v>547</v>
      </c>
      <c r="O19" s="296">
        <f t="shared" si="22"/>
      </c>
      <c r="P19" s="416">
        <f t="shared" si="23"/>
        <v>547</v>
      </c>
      <c r="Q19" s="286">
        <f>IF(D19="","",K19*100000+N19)</f>
        <v>400547</v>
      </c>
      <c r="R19" s="352">
        <f>IF(COUNTBLANK(E19:J19)=6,"",RANK(Q19,Q14:Q19))</f>
        <v>1</v>
      </c>
      <c r="S19" s="459">
        <f>IF('結果入力表'!H17="","",'結果入力表'!H17)</f>
      </c>
      <c r="T19" s="460">
        <f>IF('結果入力表'!E45="","",'結果入力表'!E45)</f>
      </c>
      <c r="U19" s="460">
        <f>IF('結果入力表'!H94="","",'結果入力表'!H94)</f>
      </c>
      <c r="V19" s="460">
        <f>IF('結果入力表'!E31="","",'結果入力表'!E31)</f>
      </c>
      <c r="W19" s="460">
        <f>IF('結果入力表'!H66="","",'結果入力表'!H66)</f>
      </c>
      <c r="X19" s="461"/>
      <c r="Y19" s="275">
        <v>67</v>
      </c>
      <c r="Z19" s="355" t="str">
        <f t="shared" si="24"/>
        <v>WRC</v>
      </c>
      <c r="AA19" s="369" t="str">
        <f>IF(Z19="","",VLOOKUP(Y19,'登録'!$AE$2:$AH$55,3,FALSE))</f>
        <v>松房ゆかり</v>
      </c>
      <c r="AB19" s="352">
        <f>IF(Z19="","",VLOOKUP(Y19,'登録'!$AE$2:$AH$55,4,FALSE))</f>
        <v>100</v>
      </c>
      <c r="AC19" s="304">
        <f>'★個人成績表★'!I56</f>
        <v>31</v>
      </c>
      <c r="AD19" s="296" t="str">
        <f>'★個人成績表★'!K56</f>
        <v>w</v>
      </c>
      <c r="AE19" s="296" t="str">
        <f>'★個人成績表★'!M56</f>
        <v>w</v>
      </c>
      <c r="AF19" s="296">
        <f>'★個人成績表★'!J56</f>
        <v>62</v>
      </c>
      <c r="AG19" s="296">
        <f>'★個人成績表★'!L56</f>
        <v>60</v>
      </c>
      <c r="AH19" s="297"/>
      <c r="AI19" s="284">
        <f t="shared" si="25"/>
        <v>2</v>
      </c>
      <c r="AJ19" s="285">
        <f t="shared" si="26"/>
        <v>3</v>
      </c>
      <c r="AK19" s="293">
        <f t="shared" si="27"/>
        <v>353</v>
      </c>
      <c r="AL19" s="293">
        <f>AK19*'登録'!$I$8/'★対戦リーグ表★'!AB19</f>
        <v>423.6</v>
      </c>
      <c r="AM19" s="296" t="str">
        <f t="shared" si="28"/>
        <v>*</v>
      </c>
      <c r="AN19" s="416">
        <f t="shared" si="29"/>
        <v>423.6</v>
      </c>
      <c r="AO19" s="286">
        <f>IF(AB19="","",AI19*100000+AL19)</f>
        <v>200423.6</v>
      </c>
      <c r="AP19" s="352">
        <f>IF(COUNTBLANK(AC19:AH19)=6,"",RANK(AO19,AO14:AO19))</f>
        <v>3</v>
      </c>
      <c r="AQ19" s="459">
        <f>IF('結果入力表'!H122="","",'結果入力表'!H122)</f>
      </c>
      <c r="AR19" s="460">
        <f>IF('結果入力表'!E150="","",'結果入力表'!E150)</f>
      </c>
      <c r="AS19" s="460">
        <f>IF('結果入力表'!H199="","",'結果入力表'!H199)</f>
      </c>
      <c r="AT19" s="460">
        <f>IF('結果入力表'!E136="","",'結果入力表'!E136)</f>
      </c>
      <c r="AU19" s="460">
        <f>IF('結果入力表'!H171="","",'結果入力表'!H171)</f>
      </c>
      <c r="AV19" s="461"/>
      <c r="AX19" s="361">
        <f t="shared" si="30"/>
        <v>17</v>
      </c>
      <c r="AZ19" s="361" t="str">
        <f t="shared" si="31"/>
        <v>杉本 博章</v>
      </c>
      <c r="BA19" s="361" t="str">
        <f t="shared" si="32"/>
        <v>WRC</v>
      </c>
      <c r="BB19" s="364">
        <f>IF(LEFT(S19,1)="A","A",IF(LEFT(S19,1)="B","B",S19))</f>
      </c>
      <c r="BC19" s="364">
        <f>IF(LEFT(T19,1)="A","A",IF(LEFT(T19,1)="B","B",T19))</f>
      </c>
      <c r="BD19" s="364">
        <f>IF(LEFT(U19,1)="A","A",IF(LEFT(U19,1)="B","B",U19))</f>
      </c>
      <c r="BE19" s="364">
        <f>IF(LEFT(V19,1)="A","A",IF(LEFT(V19,1)="B","B",V19))</f>
      </c>
      <c r="BF19" s="364">
        <f>IF(LEFT(W19,1)="A","A",IF(LEFT(W19,1)="B","B",W19))</f>
      </c>
      <c r="BG19" s="364">
        <f>IF(LEFT(AQ35,1)="A","A",IF(LEFT(AQ35,1)="B","B",AQ35))</f>
      </c>
      <c r="BH19" s="364">
        <f>IF(LEFT(AR35,1)="A","A",IF(LEFT(AR35,1)="B","B",AR35))</f>
      </c>
      <c r="BI19" s="364">
        <f>IF(LEFT(AS35,1)="A","A",IF(LEFT(AS35,1)="B","B",AS35))</f>
      </c>
      <c r="BJ19" s="364">
        <f>IF(LEFT(AT35,1)="A","A",IF(LEFT(AT35,1)="B","B",AT35))</f>
      </c>
      <c r="BK19" s="364">
        <f>IF(LEFT(AU35,1)="A","A",IF(LEFT(AU35,1)="B","B",AU35))</f>
      </c>
      <c r="BL19" s="361">
        <f>IF(BM19&gt;0,"A"&amp;'登録'!$I$8,IF(BN19&gt;0,"B"&amp;'登録'!$I$8,BO19))</f>
        <v>0</v>
      </c>
      <c r="BM19" s="361">
        <f t="shared" si="33"/>
        <v>0</v>
      </c>
      <c r="BN19" s="361">
        <f t="shared" si="33"/>
        <v>0</v>
      </c>
      <c r="BO19" s="361">
        <f t="shared" si="34"/>
        <v>0</v>
      </c>
      <c r="BP19" s="361">
        <f t="shared" si="35"/>
        <v>0</v>
      </c>
      <c r="BQ19" s="361"/>
      <c r="BR19" s="361" t="str">
        <f>'★個人成績表★'!B18</f>
        <v>丹羽 俊也</v>
      </c>
      <c r="BS19" s="361">
        <f t="shared" si="36"/>
        <v>0</v>
      </c>
    </row>
    <row r="20" spans="2:71" s="274" customFormat="1" ht="1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88"/>
      <c r="O20" s="287"/>
      <c r="P20" s="417"/>
      <c r="Q20" s="288"/>
      <c r="R20" s="287"/>
      <c r="S20" s="462"/>
      <c r="T20" s="462"/>
      <c r="U20" s="462"/>
      <c r="V20" s="462"/>
      <c r="W20" s="462"/>
      <c r="X20" s="462"/>
      <c r="Y20" s="275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8"/>
      <c r="AL20" s="288"/>
      <c r="AM20" s="287"/>
      <c r="AN20" s="417"/>
      <c r="AO20" s="288"/>
      <c r="AP20" s="287"/>
      <c r="AQ20" s="462"/>
      <c r="AR20" s="462"/>
      <c r="AS20" s="462"/>
      <c r="AT20" s="462"/>
      <c r="AU20" s="462"/>
      <c r="AV20" s="462"/>
      <c r="AX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 t="str">
        <f>'★個人成績表★'!B19</f>
        <v>平井 洸志</v>
      </c>
      <c r="BS20" s="361">
        <f t="shared" si="36"/>
        <v>0</v>
      </c>
    </row>
    <row r="21" spans="2:71" s="274" customFormat="1" ht="15" customHeight="1" thickBot="1">
      <c r="B21" s="305">
        <v>3</v>
      </c>
      <c r="C21" s="300" t="s">
        <v>89</v>
      </c>
      <c r="D21" s="419" t="s">
        <v>124</v>
      </c>
      <c r="E21" s="356" t="str">
        <f>B22</f>
        <v>KRC</v>
      </c>
      <c r="F21" s="357" t="str">
        <f>B23</f>
        <v>HRC</v>
      </c>
      <c r="G21" s="357" t="str">
        <f>B24</f>
        <v>ORC</v>
      </c>
      <c r="H21" s="357" t="str">
        <f>B25</f>
        <v>NRC</v>
      </c>
      <c r="I21" s="357" t="str">
        <f>B26</f>
        <v>SBC</v>
      </c>
      <c r="J21" s="358" t="str">
        <f>B27</f>
        <v>WRC</v>
      </c>
      <c r="K21" s="347" t="s">
        <v>93</v>
      </c>
      <c r="L21" s="290" t="s">
        <v>94</v>
      </c>
      <c r="M21" s="301" t="s">
        <v>95</v>
      </c>
      <c r="N21" s="301" t="s">
        <v>99</v>
      </c>
      <c r="O21" s="410" t="s">
        <v>28</v>
      </c>
      <c r="P21" s="290"/>
      <c r="Q21" s="291" t="s">
        <v>96</v>
      </c>
      <c r="R21" s="348" t="s">
        <v>97</v>
      </c>
      <c r="S21" s="449"/>
      <c r="T21" s="450"/>
      <c r="U21" s="450"/>
      <c r="V21" s="450"/>
      <c r="W21" s="451"/>
      <c r="X21" s="451"/>
      <c r="Y21" s="275"/>
      <c r="Z21" s="305">
        <v>3</v>
      </c>
      <c r="AA21" s="300" t="s">
        <v>89</v>
      </c>
      <c r="AB21" s="419" t="s">
        <v>119</v>
      </c>
      <c r="AC21" s="356" t="str">
        <f>$B$6</f>
        <v>KRC</v>
      </c>
      <c r="AD21" s="357" t="str">
        <f>$B$7</f>
        <v>HRC</v>
      </c>
      <c r="AE21" s="357" t="str">
        <f>$B$8</f>
        <v>ORC</v>
      </c>
      <c r="AF21" s="357" t="str">
        <f>$B$9</f>
        <v>NRC</v>
      </c>
      <c r="AG21" s="357" t="str">
        <f>$B$10</f>
        <v>SBC</v>
      </c>
      <c r="AH21" s="358" t="str">
        <f>$B$11</f>
        <v>WRC</v>
      </c>
      <c r="AI21" s="347" t="s">
        <v>93</v>
      </c>
      <c r="AJ21" s="290" t="s">
        <v>94</v>
      </c>
      <c r="AK21" s="301" t="s">
        <v>95</v>
      </c>
      <c r="AL21" s="301" t="s">
        <v>99</v>
      </c>
      <c r="AM21" s="410" t="s">
        <v>28</v>
      </c>
      <c r="AN21" s="290"/>
      <c r="AO21" s="291" t="s">
        <v>96</v>
      </c>
      <c r="AP21" s="348" t="s">
        <v>97</v>
      </c>
      <c r="AQ21" s="449"/>
      <c r="AR21" s="450"/>
      <c r="AS21" s="450"/>
      <c r="AT21" s="450"/>
      <c r="AU21" s="451"/>
      <c r="AV21" s="451"/>
      <c r="AX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>
        <f>IF(BM21&gt;0,"A"&amp;'登録'!$I$8,IF(BN21&gt;0,"B"&amp;'登録'!$I$8,BO21))</f>
        <v>0</v>
      </c>
      <c r="BM21" s="361"/>
      <c r="BN21" s="361"/>
      <c r="BO21" s="361"/>
      <c r="BP21" s="361"/>
      <c r="BQ21" s="361"/>
      <c r="BR21" s="361" t="str">
        <f>'★個人成績表★'!B20</f>
        <v>栃下 恭子</v>
      </c>
      <c r="BS21" s="361">
        <f t="shared" si="36"/>
        <v>0</v>
      </c>
    </row>
    <row r="22" spans="1:70" s="274" customFormat="1" ht="15" customHeight="1" thickTop="1">
      <c r="A22" s="275">
        <v>1</v>
      </c>
      <c r="B22" s="28" t="str">
        <f aca="true" t="shared" si="37" ref="B22:B27">B14</f>
        <v>KRC</v>
      </c>
      <c r="C22" s="367" t="str">
        <f>VLOOKUP(VALUE(A22&amp;B21),'登録'!$AE$2:$AH$55,3,FALSE)</f>
        <v>小山 久博</v>
      </c>
      <c r="D22" s="350">
        <f>VLOOKUP(VALUE(A22&amp;B21),'登録'!$AE$2:$AH$55,4,FALSE)</f>
        <v>120</v>
      </c>
      <c r="E22" s="306"/>
      <c r="F22" s="302" t="str">
        <f>'★個人成績表★'!H7</f>
        <v>w</v>
      </c>
      <c r="G22" s="302" t="str">
        <f>'★個人成績表★'!G7</f>
        <v>w</v>
      </c>
      <c r="H22" s="302">
        <f>'★個人成績表★'!F7</f>
        <v>23</v>
      </c>
      <c r="I22" s="302">
        <f>'★個人成績表★'!E7</f>
        <v>18</v>
      </c>
      <c r="J22" s="302" t="str">
        <f>'★個人成績表★'!D7</f>
        <v>w</v>
      </c>
      <c r="K22" s="349">
        <f aca="true" t="shared" si="38" ref="K22:K27">IF(COUNTBLANK(E22:J22)=6,"",COUNTIF(E22:J22,"w"))</f>
        <v>3</v>
      </c>
      <c r="L22" s="276">
        <f aca="true" t="shared" si="39" ref="L22:L27">IF(COUNTBLANK(E22:J22)=6,"",6-COUNTBLANK(E22:J22)-K22)</f>
        <v>2</v>
      </c>
      <c r="M22" s="303">
        <f aca="true" t="shared" si="40" ref="M22:M27">K22*D22+SUM(E22:J22)</f>
        <v>401</v>
      </c>
      <c r="N22" s="303">
        <f>M22*'登録'!$I$8/'★対戦リーグ表★'!D22</f>
        <v>401</v>
      </c>
      <c r="O22" s="302">
        <f aca="true" t="shared" si="41" ref="O22:O27">IF(ISERROR(N22),"",IF(M22=N22,"","*"))</f>
      </c>
      <c r="P22" s="414">
        <f aca="true" t="shared" si="42" ref="P22:P27">IF(COUNTBLANK(E22:J22)=6,"",N22)</f>
        <v>401</v>
      </c>
      <c r="Q22" s="277">
        <f>K22*100000+N22</f>
        <v>300401</v>
      </c>
      <c r="R22" s="350">
        <f>IF(COUNTBLANK(E22:J22)=6,"",RANK(Q22,Q22:Q27))</f>
        <v>3</v>
      </c>
      <c r="S22" s="452"/>
      <c r="T22" s="453" t="str">
        <f>IF('結果入力表'!E102="","",'結果入力表'!E102)</f>
        <v>120A</v>
      </c>
      <c r="U22" s="453">
        <f>IF('結果入力表'!E81="","",'結果入力表'!E81)</f>
      </c>
      <c r="V22" s="453">
        <f>IF('結果入力表'!E60="","",'結果入力表'!E60)</f>
      </c>
      <c r="W22" s="453">
        <f>IF('結果入力表'!E39="","",'結果入力表'!E39)</f>
      </c>
      <c r="X22" s="454">
        <f>IF('結果入力表'!E18="","",'結果入力表'!E18)</f>
      </c>
      <c r="Y22" s="275">
        <v>13</v>
      </c>
      <c r="Z22" s="28" t="str">
        <f aca="true" t="shared" si="43" ref="Z22:Z27">Z14</f>
        <v>KRC</v>
      </c>
      <c r="AA22" s="367" t="str">
        <f>VLOOKUP(Y22,'登録'!$AE$2:$AH$55,3,FALSE)</f>
        <v>小山 久博</v>
      </c>
      <c r="AB22" s="350">
        <f>VLOOKUP(Y22,'登録'!$AE$2:$AH$55,4,FALSE)</f>
        <v>120</v>
      </c>
      <c r="AC22" s="306"/>
      <c r="AD22" s="302" t="str">
        <f>'★個人成績表★'!M7</f>
        <v>w</v>
      </c>
      <c r="AE22" s="302" t="str">
        <f>'★個人成績表★'!L7</f>
        <v>w</v>
      </c>
      <c r="AF22" s="302" t="str">
        <f>'★個人成績表★'!K7</f>
        <v>w</v>
      </c>
      <c r="AG22" s="302" t="str">
        <f>'★個人成績表★'!J7</f>
        <v>w</v>
      </c>
      <c r="AH22" s="302" t="str">
        <f>'★個人成績表★'!I7</f>
        <v>w</v>
      </c>
      <c r="AI22" s="349">
        <f aca="true" t="shared" si="44" ref="AI22:AI27">IF(COUNTBLANK(AC22:AH22)=6,"",COUNTIF(AC22:AH22,"w"))</f>
        <v>5</v>
      </c>
      <c r="AJ22" s="276">
        <f aca="true" t="shared" si="45" ref="AJ22:AJ27">IF(COUNTBLANK(AC22:AH22)=6,"",6-COUNTBLANK(AC22:AH22)-AI22)</f>
        <v>0</v>
      </c>
      <c r="AK22" s="303">
        <f aca="true" t="shared" si="46" ref="AK22:AK27">AI22*AB22+SUM(AC22:AH22)</f>
        <v>600</v>
      </c>
      <c r="AL22" s="303">
        <f>AK22*'登録'!$I$8/'★対戦リーグ表★'!AB22</f>
        <v>600</v>
      </c>
      <c r="AM22" s="302">
        <f aca="true" t="shared" si="47" ref="AM22:AM27">IF(ISERROR(AL22),"",IF(AK22=AL22,"","*"))</f>
      </c>
      <c r="AN22" s="414">
        <f aca="true" t="shared" si="48" ref="AN22:AN27">IF(COUNTBLANK(AC22:AH22)=6,"",AL22)</f>
        <v>600</v>
      </c>
      <c r="AO22" s="277">
        <f>AI22*100000+AL22</f>
        <v>500600</v>
      </c>
      <c r="AP22" s="350">
        <f>IF(COUNTBLANK(AC22:AH22)=6,"",RANK(AO22,AO22:AO27))</f>
        <v>1</v>
      </c>
      <c r="AQ22" s="452"/>
      <c r="AR22" s="453">
        <f>IF('結果入力表'!E207="","",'結果入力表'!E207)</f>
      </c>
      <c r="AS22" s="453">
        <f>IF('結果入力表'!E186="","",'結果入力表'!E186)</f>
      </c>
      <c r="AT22" s="453">
        <f>IF('結果入力表'!E165="","",'結果入力表'!E165)</f>
        <v>103</v>
      </c>
      <c r="AU22" s="453">
        <f>IF('結果入力表'!E144="","",'結果入力表'!E144)</f>
      </c>
      <c r="AV22" s="454">
        <f>IF('結果入力表'!E123="","",'結果入力表'!E123)</f>
        <v>111</v>
      </c>
      <c r="AX22" s="361">
        <f aca="true" t="shared" si="49" ref="AX22:AX27">RANK(BP22,$BP$6:$BP$59)</f>
        <v>7</v>
      </c>
      <c r="AZ22" s="361" t="str">
        <f aca="true" t="shared" si="50" ref="AZ22:AZ27">C22</f>
        <v>小山 久博</v>
      </c>
      <c r="BA22" s="361" t="str">
        <f>B22</f>
        <v>KRC</v>
      </c>
      <c r="BB22" s="364" t="str">
        <f>IF(LEFT(T22,1)="A","A",IF(LEFT(T22,1)="B","B",T22))</f>
        <v>120A</v>
      </c>
      <c r="BC22" s="364">
        <f>IF(LEFT(U22,1)="A","A",IF(LEFT(U22,1)="B","B",U22))</f>
      </c>
      <c r="BD22" s="364">
        <f>IF(LEFT(V22,1)="A","A",IF(LEFT(V22,1)="B","B",V22))</f>
      </c>
      <c r="BE22" s="364">
        <f>IF(LEFT(W22,1)="A","A",IF(LEFT(W22,1)="B","B",W22))</f>
      </c>
      <c r="BF22" s="364">
        <f>IF(LEFT(X22,1)="A","A",IF(LEFT(X22,1)="B","B",X22))</f>
      </c>
      <c r="BG22" s="364">
        <f>IF(LEFT(AR22,1)="A","A",IF(LEFT(AR22,1)="B","B",AR22))</f>
      </c>
      <c r="BH22" s="364">
        <f>IF(LEFT(AS22,1)="A","A",IF(LEFT(AS22,1)="B","B",AS22))</f>
      </c>
      <c r="BI22" s="364">
        <f>IF(LEFT(AT22,1)="A","A",IF(LEFT(AT22,1)="B","B",AT22))</f>
        <v>103</v>
      </c>
      <c r="BJ22" s="364">
        <f>IF(LEFT(AU22,1)="A","A",IF(LEFT(AU22,1)="B","B",AU22))</f>
      </c>
      <c r="BK22" s="364">
        <f>IF(LEFT(AV22,1)="A","A",IF(LEFT(AV22,1)="B","B",AV22))</f>
        <v>111</v>
      </c>
      <c r="BL22" s="361">
        <f>IF(BM22&gt;0,"A"&amp;'登録'!$I$8,IF(BN22&gt;0,"B"&amp;'登録'!$I$8,BO22))</f>
        <v>111</v>
      </c>
      <c r="BM22" s="361">
        <f aca="true" t="shared" si="51" ref="BM22:BN27">COUNTIF($BB22:$BK22,BM$5)</f>
        <v>0</v>
      </c>
      <c r="BN22" s="361">
        <f t="shared" si="51"/>
        <v>0</v>
      </c>
      <c r="BO22" s="361">
        <f>MAX(BB22:BK22)</f>
        <v>111</v>
      </c>
      <c r="BP22" s="361">
        <f aca="true" t="shared" si="52" ref="BP22:BP27">BM22*10000+BN22*1000+BO22</f>
        <v>111</v>
      </c>
      <c r="BQ22" s="361"/>
      <c r="BR22" s="361"/>
    </row>
    <row r="23" spans="1:70" s="274" customFormat="1" ht="15" customHeight="1">
      <c r="A23" s="275">
        <v>2</v>
      </c>
      <c r="B23" s="27" t="str">
        <f t="shared" si="37"/>
        <v>HRC</v>
      </c>
      <c r="C23" s="368" t="str">
        <f>VLOOKUP(VALUE(A23&amp;B21),'登録'!$AE$2:$AH$55,3,FALSE)</f>
        <v>藤中健太郎</v>
      </c>
      <c r="D23" s="351">
        <f>VLOOKUP(VALUE(A23&amp;B21),'登録'!$AE$2:$AH$55,4,FALSE)</f>
        <v>120</v>
      </c>
      <c r="E23" s="298">
        <f>'★個人成績表★'!H16</f>
        <v>0</v>
      </c>
      <c r="F23" s="294"/>
      <c r="G23" s="295">
        <f>'★個人成績表★'!E16</f>
        <v>100</v>
      </c>
      <c r="H23" s="295">
        <f>'★個人成績表★'!G16</f>
        <v>56</v>
      </c>
      <c r="I23" s="295">
        <f>'★個人成績表★'!D16</f>
        <v>26</v>
      </c>
      <c r="J23" s="295" t="str">
        <f>'★個人成績表★'!F16</f>
        <v>w</v>
      </c>
      <c r="K23" s="280">
        <f t="shared" si="38"/>
        <v>1</v>
      </c>
      <c r="L23" s="278">
        <f t="shared" si="39"/>
        <v>4</v>
      </c>
      <c r="M23" s="299">
        <f t="shared" si="40"/>
        <v>302</v>
      </c>
      <c r="N23" s="299">
        <f>M23*'登録'!$I$8/'★対戦リーグ表★'!D23</f>
        <v>302</v>
      </c>
      <c r="O23" s="295">
        <f t="shared" si="41"/>
      </c>
      <c r="P23" s="415">
        <f t="shared" si="42"/>
        <v>302</v>
      </c>
      <c r="Q23" s="279">
        <f>K23*100000+N23</f>
        <v>100302</v>
      </c>
      <c r="R23" s="351">
        <f>IF(COUNTBLANK(E23:J23)=6,"",RANK(Q23,Q22:Q27))</f>
        <v>5</v>
      </c>
      <c r="S23" s="455">
        <f>IF('結果入力表'!H102="","",'結果入力表'!H102)</f>
      </c>
      <c r="T23" s="456"/>
      <c r="U23" s="457">
        <f>IF('結果入力表'!E25="","",'結果入力表'!E25)</f>
      </c>
      <c r="V23" s="457">
        <f>IF('結果入力表'!H74="","",'結果入力表'!H74)</f>
      </c>
      <c r="W23" s="457">
        <f>IF('結果入力表'!E11="","",'結果入力表'!E11)</f>
      </c>
      <c r="X23" s="458">
        <f>IF('結果入力表'!H46="","",'結果入力表'!H46)</f>
      </c>
      <c r="Y23" s="275">
        <v>24</v>
      </c>
      <c r="Z23" s="27" t="str">
        <f t="shared" si="43"/>
        <v>HRC</v>
      </c>
      <c r="AA23" s="368" t="str">
        <f>VLOOKUP(Y23,'登録'!$AE$2:$AH$55,3,FALSE)</f>
        <v>後藤 勇治</v>
      </c>
      <c r="AB23" s="351">
        <f>VLOOKUP(Y23,'登録'!$AE$2:$AH$55,4,FALSE)</f>
        <v>120</v>
      </c>
      <c r="AC23" s="298">
        <f>'★個人成績表★'!M17</f>
        <v>16</v>
      </c>
      <c r="AD23" s="294"/>
      <c r="AE23" s="295">
        <f>'★個人成績表★'!J17</f>
        <v>13</v>
      </c>
      <c r="AF23" s="295">
        <f>'★個人成績表★'!L17</f>
        <v>81</v>
      </c>
      <c r="AG23" s="295" t="str">
        <f>'★個人成績表★'!I17</f>
        <v>w</v>
      </c>
      <c r="AH23" s="295">
        <f>'★個人成績表★'!K17</f>
        <v>77</v>
      </c>
      <c r="AI23" s="280">
        <f t="shared" si="44"/>
        <v>1</v>
      </c>
      <c r="AJ23" s="278">
        <f t="shared" si="45"/>
        <v>4</v>
      </c>
      <c r="AK23" s="299">
        <f t="shared" si="46"/>
        <v>307</v>
      </c>
      <c r="AL23" s="299">
        <f>AK23*'登録'!$I$8/'★対戦リーグ表★'!AB23</f>
        <v>307</v>
      </c>
      <c r="AM23" s="295">
        <f t="shared" si="47"/>
      </c>
      <c r="AN23" s="415">
        <f t="shared" si="48"/>
        <v>307</v>
      </c>
      <c r="AO23" s="279">
        <f>AI23*100000+AL23</f>
        <v>100307</v>
      </c>
      <c r="AP23" s="351">
        <f>IF(COUNTBLANK(AC23:AH23)=6,"",RANK(AO23,AO22:AO27))</f>
        <v>6</v>
      </c>
      <c r="AQ23" s="455">
        <f>IF('結果入力表'!H207="","",'結果入力表'!H207)</f>
      </c>
      <c r="AR23" s="456"/>
      <c r="AS23" s="457">
        <f>IF('結果入力表'!E130="","",'結果入力表'!E130)</f>
      </c>
      <c r="AT23" s="457">
        <f>IF('結果入力表'!H179="","",'結果入力表'!H179)</f>
      </c>
      <c r="AU23" s="457">
        <f>IF('結果入力表'!E116="","",'結果入力表'!E116)</f>
      </c>
      <c r="AV23" s="458">
        <f>IF('結果入力表'!H151="","",'結果入力表'!H151)</f>
      </c>
      <c r="AX23" s="361">
        <f t="shared" si="49"/>
        <v>15</v>
      </c>
      <c r="AZ23" s="361" t="str">
        <f t="shared" si="50"/>
        <v>藤中健太郎</v>
      </c>
      <c r="BA23" s="361" t="str">
        <f t="shared" si="32"/>
        <v>HRC</v>
      </c>
      <c r="BB23" s="364">
        <f>IF(LEFT(S23,1)="A","A",IF(LEFT(S23,1)="B","B",S23))</f>
      </c>
      <c r="BC23" s="364">
        <f>IF(LEFT(U23,1)="A","A",IF(LEFT(U23,1)="B","B",U23))</f>
      </c>
      <c r="BD23" s="364">
        <f>IF(LEFT(V23,1)="A","A",IF(LEFT(V23,1)="B","B",V23))</f>
      </c>
      <c r="BE23" s="364">
        <f>IF(LEFT(W23,1)="A","A",IF(LEFT(W23,1)="B","B",W23))</f>
      </c>
      <c r="BF23" s="364">
        <f>IF(LEFT(X23,1)="A","A",IF(LEFT(X23,1)="B","B",X23))</f>
      </c>
      <c r="BG23" s="364">
        <f>IF(LEFT(AQ15,1)="A","A",IF(LEFT(AQ15,1)="B","B",AQ15))</f>
      </c>
      <c r="BH23" s="364">
        <f>IF(LEFT(AS15,1)="A","A",IF(LEFT(AS15,1)="B","B",AS15))</f>
        <v>100</v>
      </c>
      <c r="BI23" s="364">
        <f>IF(LEFT(AT15,1)="A","A",IF(LEFT(AT15,1)="B","B",AT15))</f>
      </c>
      <c r="BJ23" s="364">
        <f>IF(LEFT(AU15,1)="A","A",IF(LEFT(AU15,1)="B","B",AU15))</f>
      </c>
      <c r="BK23" s="364">
        <f>IF(LEFT(AV15,1)="A","A",IF(LEFT(AV15,1)="B","B",AV15))</f>
      </c>
      <c r="BL23" s="361">
        <f>IF(BM23&gt;0,"A"&amp;'登録'!$I$8,IF(BN23&gt;0,"B"&amp;'登録'!$I$8,BO23))</f>
        <v>100</v>
      </c>
      <c r="BM23" s="361">
        <f t="shared" si="51"/>
        <v>0</v>
      </c>
      <c r="BN23" s="361">
        <f t="shared" si="51"/>
        <v>0</v>
      </c>
      <c r="BO23" s="361">
        <f t="shared" si="34"/>
        <v>100</v>
      </c>
      <c r="BP23" s="361">
        <f t="shared" si="52"/>
        <v>100</v>
      </c>
      <c r="BQ23" s="361"/>
      <c r="BR23" s="361"/>
    </row>
    <row r="24" spans="1:71" s="274" customFormat="1" ht="15" customHeight="1">
      <c r="A24" s="275">
        <v>3</v>
      </c>
      <c r="B24" s="27" t="str">
        <f t="shared" si="37"/>
        <v>ORC</v>
      </c>
      <c r="C24" s="368" t="str">
        <f>VLOOKUP(VALUE(A24&amp;B21),'登録'!$AE$2:$AH$55,3,FALSE)</f>
        <v>吉岡 保俊</v>
      </c>
      <c r="D24" s="351">
        <f>VLOOKUP(VALUE(A24&amp;B21),'登録'!$AE$2:$AH$55,4,FALSE)</f>
        <v>120</v>
      </c>
      <c r="E24" s="298">
        <f>'★個人成績表★'!G25</f>
        <v>71</v>
      </c>
      <c r="F24" s="295" t="str">
        <f>'★個人成績表★'!E25</f>
        <v>w</v>
      </c>
      <c r="G24" s="294"/>
      <c r="H24" s="295" t="str">
        <f>'★個人成績表★'!D25</f>
        <v>w</v>
      </c>
      <c r="I24" s="295" t="str">
        <f>'★個人成績表★'!F25</f>
        <v>w</v>
      </c>
      <c r="J24" s="295" t="str">
        <f>'★個人成績表★'!H25</f>
        <v>w</v>
      </c>
      <c r="K24" s="280">
        <f t="shared" si="38"/>
        <v>4</v>
      </c>
      <c r="L24" s="278">
        <f t="shared" si="39"/>
        <v>1</v>
      </c>
      <c r="M24" s="299">
        <f t="shared" si="40"/>
        <v>551</v>
      </c>
      <c r="N24" s="299">
        <f>M24*'登録'!$I$8/'★対戦リーグ表★'!D24</f>
        <v>551</v>
      </c>
      <c r="O24" s="295">
        <f t="shared" si="41"/>
      </c>
      <c r="P24" s="415">
        <f t="shared" si="42"/>
        <v>551</v>
      </c>
      <c r="Q24" s="279">
        <f>K24*100000+N24</f>
        <v>400551</v>
      </c>
      <c r="R24" s="351">
        <f>IF(COUNTBLANK(E24:J24)=6,"",RANK(Q24,Q22:Q27))</f>
        <v>1</v>
      </c>
      <c r="S24" s="455">
        <f>IF('結果入力表'!H81="","",'結果入力表'!H81)</f>
      </c>
      <c r="T24" s="457">
        <f>IF('結果入力表'!H25="","",'結果入力表'!H25)</f>
      </c>
      <c r="U24" s="456"/>
      <c r="V24" s="457">
        <f>IF('結果入力表'!E4="","",'結果入力表'!E4)</f>
      </c>
      <c r="W24" s="457" t="str">
        <f>IF('結果入力表'!H53="","",'結果入力表'!H53)</f>
        <v>120A</v>
      </c>
      <c r="X24" s="458">
        <f>IF('結果入力表'!E95="","",'結果入力表'!E95)</f>
      </c>
      <c r="Y24" s="275">
        <v>35</v>
      </c>
      <c r="Z24" s="27" t="str">
        <f t="shared" si="43"/>
        <v>ORC</v>
      </c>
      <c r="AA24" s="368" t="str">
        <f>VLOOKUP(Y24,'登録'!$AE$2:$AH$55,3,FALSE)</f>
        <v>由本　拓</v>
      </c>
      <c r="AB24" s="351">
        <f>VLOOKUP(Y24,'登録'!$AE$2:$AH$55,4,FALSE)</f>
        <v>120</v>
      </c>
      <c r="AC24" s="298">
        <f>'★個人成績表★'!L27</f>
        <v>80</v>
      </c>
      <c r="AD24" s="295" t="str">
        <f>'★個人成績表★'!J27</f>
        <v>w</v>
      </c>
      <c r="AE24" s="294"/>
      <c r="AF24" s="295" t="str">
        <f>'★個人成績表★'!I27</f>
        <v>w</v>
      </c>
      <c r="AG24" s="295">
        <f>'★個人成績表★'!K27</f>
        <v>75</v>
      </c>
      <c r="AH24" s="295">
        <f>'★個人成績表★'!M27</f>
        <v>49</v>
      </c>
      <c r="AI24" s="280">
        <f t="shared" si="44"/>
        <v>2</v>
      </c>
      <c r="AJ24" s="278">
        <f t="shared" si="45"/>
        <v>3</v>
      </c>
      <c r="AK24" s="299">
        <f t="shared" si="46"/>
        <v>444</v>
      </c>
      <c r="AL24" s="299">
        <f>AK24*'登録'!$I$8/'★対戦リーグ表★'!AB24</f>
        <v>444</v>
      </c>
      <c r="AM24" s="295">
        <f t="shared" si="47"/>
      </c>
      <c r="AN24" s="415">
        <f t="shared" si="48"/>
        <v>444</v>
      </c>
      <c r="AO24" s="279">
        <f>AI24*100000+AL24</f>
        <v>200444</v>
      </c>
      <c r="AP24" s="351">
        <f>IF(COUNTBLANK(AC24:AH24)=6,"",RANK(AO24,AO22:AO27))</f>
        <v>3</v>
      </c>
      <c r="AQ24" s="455">
        <f>IF('結果入力表'!H186="","",'結果入力表'!H186)</f>
      </c>
      <c r="AR24" s="457">
        <f>IF('結果入力表'!H130="","",'結果入力表'!H130)</f>
      </c>
      <c r="AS24" s="456"/>
      <c r="AT24" s="457">
        <f>IF('結果入力表'!E109="","",'結果入力表'!E109)</f>
      </c>
      <c r="AU24" s="457">
        <f>IF('結果入力表'!H158="","",'結果入力表'!H158)</f>
      </c>
      <c r="AV24" s="458">
        <f>IF('結果入力表'!E200="","",'結果入力表'!E200)</f>
      </c>
      <c r="AX24" s="361">
        <f t="shared" si="49"/>
        <v>5</v>
      </c>
      <c r="AZ24" s="361" t="str">
        <f t="shared" si="50"/>
        <v>吉岡 保俊</v>
      </c>
      <c r="BA24" s="361" t="str">
        <f t="shared" si="32"/>
        <v>ORC</v>
      </c>
      <c r="BB24" s="364">
        <f>IF(LEFT(S24,1)="A","A",IF(LEFT(S24,1)="B","B",S24))</f>
      </c>
      <c r="BC24" s="364">
        <f>IF(LEFT(T24,1)="A","A",IF(LEFT(T24,1)="B","B",T24))</f>
      </c>
      <c r="BD24" s="364">
        <f>IF(LEFT(V24,1)="A","A",IF(LEFT(V24,1)="B","B",V24))</f>
      </c>
      <c r="BE24" s="364" t="str">
        <f>IF(LEFT(W24,1)="A","A",IF(LEFT(W24,1)="B","B",W24))</f>
        <v>120A</v>
      </c>
      <c r="BF24" s="364">
        <f>IF(LEFT(X24,1)="A","A",IF(LEFT(X24,1)="B","B",X24))</f>
      </c>
      <c r="BG24" s="364">
        <f>IF(LEFT(AQ8,1)="A","A",IF(LEFT(AQ8,1)="B","B",AQ8))</f>
      </c>
      <c r="BH24" s="364">
        <f>IF(LEFT(AR8,1)="A","A",IF(LEFT(AR8,1)="B","B",AR8))</f>
      </c>
      <c r="BI24" s="364">
        <f>IF(LEFT(AT8,1)="A","A",IF(LEFT(AT8,1)="B","B",AT8))</f>
        <v>118</v>
      </c>
      <c r="BJ24" s="364">
        <f>IF(LEFT(AU8,1)="A","A",IF(LEFT(AU8,1)="B","B",AU8))</f>
      </c>
      <c r="BK24" s="364">
        <f>IF(LEFT(AV8,1)="A","A",IF(LEFT(AV8,1)="B","B",AV8))</f>
      </c>
      <c r="BL24" s="361">
        <f>IF(BM24&gt;0,"A"&amp;'登録'!$I$8,IF(BN24&gt;0,"B"&amp;'登録'!$I$8,BO24))</f>
        <v>118</v>
      </c>
      <c r="BM24" s="361">
        <f t="shared" si="51"/>
        <v>0</v>
      </c>
      <c r="BN24" s="361">
        <f t="shared" si="51"/>
        <v>0</v>
      </c>
      <c r="BO24" s="361">
        <f t="shared" si="34"/>
        <v>118</v>
      </c>
      <c r="BP24" s="361">
        <f t="shared" si="52"/>
        <v>118</v>
      </c>
      <c r="BQ24" s="361"/>
      <c r="BR24" s="361" t="str">
        <f>'★個人成績表★'!B23</f>
        <v>村上 泰辰</v>
      </c>
      <c r="BS24" s="361">
        <f aca="true" t="shared" si="53" ref="BS24:BS30">VLOOKUP(BR24,$AZ$6:$BL$59,13,FALSE)</f>
        <v>0</v>
      </c>
    </row>
    <row r="25" spans="1:71" s="274" customFormat="1" ht="15" customHeight="1">
      <c r="A25" s="275">
        <v>4</v>
      </c>
      <c r="B25" s="27" t="str">
        <f t="shared" si="37"/>
        <v>NRC</v>
      </c>
      <c r="C25" s="368" t="str">
        <f>VLOOKUP(VALUE(A25&amp;B21),'登録'!$AE$2:$AH$55,3,FALSE)</f>
        <v>吉向 翔平</v>
      </c>
      <c r="D25" s="351">
        <f>VLOOKUP(VALUE(A25&amp;B21),'登録'!$AE$2:$AH$55,4,FALSE)</f>
        <v>120</v>
      </c>
      <c r="E25" s="298" t="str">
        <f>'★個人成績表★'!F34</f>
        <v>w</v>
      </c>
      <c r="F25" s="295" t="str">
        <f>'★個人成績表★'!G34</f>
        <v>w</v>
      </c>
      <c r="G25" s="295">
        <f>'★個人成績表★'!D34</f>
        <v>34</v>
      </c>
      <c r="H25" s="294"/>
      <c r="I25" s="295" t="str">
        <f>'★個人成績表★'!H34</f>
        <v>w</v>
      </c>
      <c r="J25" s="295" t="str">
        <f>'★個人成績表★'!E34</f>
        <v>w</v>
      </c>
      <c r="K25" s="280">
        <f t="shared" si="38"/>
        <v>4</v>
      </c>
      <c r="L25" s="278">
        <f t="shared" si="39"/>
        <v>1</v>
      </c>
      <c r="M25" s="299">
        <f t="shared" si="40"/>
        <v>514</v>
      </c>
      <c r="N25" s="299">
        <f>M25*'登録'!$I$8/'★対戦リーグ表★'!D25</f>
        <v>514</v>
      </c>
      <c r="O25" s="295">
        <f t="shared" si="41"/>
      </c>
      <c r="P25" s="415">
        <f t="shared" si="42"/>
        <v>514</v>
      </c>
      <c r="Q25" s="279">
        <f>K25*100000+N25</f>
        <v>400514</v>
      </c>
      <c r="R25" s="351">
        <f>IF(COUNTBLANK(E25:J25)=6,"",RANK(Q25,Q22:Q27))</f>
        <v>2</v>
      </c>
      <c r="S25" s="455">
        <f>IF('結果入力表'!H60="","",'結果入力表'!H60)</f>
        <v>103</v>
      </c>
      <c r="T25" s="457">
        <f>IF('結果入力表'!E74="","",'結果入力表'!E74)</f>
      </c>
      <c r="U25" s="457">
        <f>IF('結果入力表'!H4="","",'結果入力表'!H4)</f>
      </c>
      <c r="V25" s="456"/>
      <c r="W25" s="457">
        <f>IF('結果入力表'!E88="","",'結果入力表'!E88)</f>
      </c>
      <c r="X25" s="458">
        <f>IF('結果入力表'!H32="","",'結果入力表'!H32)</f>
      </c>
      <c r="Y25" s="275">
        <v>46</v>
      </c>
      <c r="Z25" s="27" t="str">
        <f t="shared" si="43"/>
        <v>NRC</v>
      </c>
      <c r="AA25" s="368" t="str">
        <f>VLOOKUP(Y25,'登録'!$AE$2:$AH$55,3,FALSE)</f>
        <v>長谷川 進</v>
      </c>
      <c r="AB25" s="351">
        <f>VLOOKUP(Y25,'登録'!$AE$2:$AH$55,4,FALSE)</f>
        <v>120</v>
      </c>
      <c r="AC25" s="298">
        <f>'★個人成績表★'!K37</f>
        <v>0</v>
      </c>
      <c r="AD25" s="295" t="str">
        <f>'★個人成績表★'!L37</f>
        <v>w</v>
      </c>
      <c r="AE25" s="295">
        <f>'★個人成績表★'!I37</f>
        <v>29</v>
      </c>
      <c r="AF25" s="294"/>
      <c r="AG25" s="295" t="str">
        <f>'★個人成績表★'!M37</f>
        <v>w</v>
      </c>
      <c r="AH25" s="295">
        <f>'★個人成績表★'!J37</f>
        <v>27</v>
      </c>
      <c r="AI25" s="280">
        <f t="shared" si="44"/>
        <v>2</v>
      </c>
      <c r="AJ25" s="278">
        <f t="shared" si="45"/>
        <v>3</v>
      </c>
      <c r="AK25" s="299">
        <f t="shared" si="46"/>
        <v>296</v>
      </c>
      <c r="AL25" s="299">
        <f>AK25*'登録'!$I$8/'★対戦リーグ表★'!AB25</f>
        <v>296</v>
      </c>
      <c r="AM25" s="295">
        <f t="shared" si="47"/>
      </c>
      <c r="AN25" s="415">
        <f t="shared" si="48"/>
        <v>296</v>
      </c>
      <c r="AO25" s="279">
        <f>AI25*100000+AL25</f>
        <v>200296</v>
      </c>
      <c r="AP25" s="351">
        <f>IF(COUNTBLANK(AC25:AH25)=6,"",RANK(AO25,AO22:AO27))</f>
        <v>4</v>
      </c>
      <c r="AQ25" s="455">
        <f>IF('結果入力表'!H165="","",'結果入力表'!H165)</f>
      </c>
      <c r="AR25" s="457">
        <f>IF('結果入力表'!E179="","",'結果入力表'!E179)</f>
      </c>
      <c r="AS25" s="457">
        <f>IF('結果入力表'!H109="","",'結果入力表'!H109)</f>
      </c>
      <c r="AT25" s="456"/>
      <c r="AU25" s="457">
        <f>IF('結果入力表'!E193="","",'結果入力表'!E193)</f>
      </c>
      <c r="AV25" s="458">
        <f>IF('結果入力表'!H137="","",'結果入力表'!H137)</f>
      </c>
      <c r="AX25" s="361">
        <f t="shared" si="49"/>
        <v>13</v>
      </c>
      <c r="AZ25" s="361" t="str">
        <f t="shared" si="50"/>
        <v>吉向 翔平</v>
      </c>
      <c r="BA25" s="361" t="str">
        <f t="shared" si="32"/>
        <v>NRC</v>
      </c>
      <c r="BB25" s="364">
        <f>IF(LEFT(S25,1)="A","A",IF(LEFT(S25,1)="B","B",S25))</f>
        <v>103</v>
      </c>
      <c r="BC25" s="364">
        <f>IF(LEFT(T25,1)="A","A",IF(LEFT(T25,1)="B","B",T25))</f>
      </c>
      <c r="BD25" s="364">
        <f>IF(LEFT(U25,1)="A","A",IF(LEFT(U25,1)="B","B",U25))</f>
      </c>
      <c r="BE25" s="364">
        <f>IF(LEFT(W25,1)="A","A",IF(LEFT(W25,1)="B","B",W25))</f>
      </c>
      <c r="BF25" s="364">
        <f>IF(LEFT(X25,1)="A","A",IF(LEFT(X25,1)="B","B",X25))</f>
      </c>
      <c r="BG25" s="364">
        <f>IF(LEFT(AQ57,1)="A","A",IF(LEFT(AQ57,1)="B","B",AQ57))</f>
      </c>
      <c r="BH25" s="364">
        <f>IF(LEFT(AR57,1)="A","A",IF(LEFT(AR57,1)="B","B",AR57))</f>
      </c>
      <c r="BI25" s="364">
        <f>IF(LEFT(AS57,1)="A","A",IF(LEFT(AS57,1)="B","B",AS57))</f>
      </c>
      <c r="BJ25" s="364">
        <f>IF(LEFT(AU57,1)="A","A",IF(LEFT(AU57,1)="B","B",AU57))</f>
      </c>
      <c r="BK25" s="364">
        <f>IF(LEFT(AV57,1)="A","A",IF(LEFT(AV57,1)="B","B",AV57))</f>
      </c>
      <c r="BL25" s="361">
        <f>IF(BM25&gt;0,"A"&amp;'登録'!$I$8,IF(BN25&gt;0,"B"&amp;'登録'!$I$8,BO25))</f>
        <v>103</v>
      </c>
      <c r="BM25" s="361">
        <f t="shared" si="51"/>
        <v>0</v>
      </c>
      <c r="BN25" s="361">
        <f t="shared" si="51"/>
        <v>0</v>
      </c>
      <c r="BO25" s="361">
        <f t="shared" si="34"/>
        <v>103</v>
      </c>
      <c r="BP25" s="361">
        <f t="shared" si="52"/>
        <v>103</v>
      </c>
      <c r="BQ25" s="361"/>
      <c r="BR25" s="361" t="str">
        <f>'★個人成績表★'!B24</f>
        <v>乾　伸綱</v>
      </c>
      <c r="BS25" s="361">
        <f t="shared" si="53"/>
        <v>118</v>
      </c>
    </row>
    <row r="26" spans="1:71" s="274" customFormat="1" ht="15" customHeight="1">
      <c r="A26" s="275">
        <v>5</v>
      </c>
      <c r="B26" s="27" t="str">
        <f t="shared" si="37"/>
        <v>SBC</v>
      </c>
      <c r="C26" s="368" t="str">
        <f>VLOOKUP(VALUE(A26&amp;B21),'登録'!$AE$2:$AH$55,3,FALSE)</f>
        <v>大橋 義治</v>
      </c>
      <c r="D26" s="366">
        <f>VLOOKUP(VALUE(A26&amp;B21),'登録'!$AE$2:$AH$55,4,FALSE)</f>
        <v>120</v>
      </c>
      <c r="E26" s="298" t="str">
        <f>'★個人成績表★'!E43</f>
        <v>w</v>
      </c>
      <c r="F26" s="295" t="str">
        <f>'★個人成績表★'!D43</f>
        <v>w</v>
      </c>
      <c r="G26" s="295">
        <f>'★個人成績表★'!F43</f>
        <v>0</v>
      </c>
      <c r="H26" s="295">
        <f>'★個人成績表★'!H43</f>
        <v>26</v>
      </c>
      <c r="I26" s="294"/>
      <c r="J26" s="295">
        <f>'★個人成績表★'!G43</f>
        <v>71</v>
      </c>
      <c r="K26" s="281">
        <f t="shared" si="38"/>
        <v>2</v>
      </c>
      <c r="L26" s="282">
        <f t="shared" si="39"/>
        <v>3</v>
      </c>
      <c r="M26" s="283">
        <f t="shared" si="40"/>
        <v>337</v>
      </c>
      <c r="N26" s="283">
        <f>M26*'登録'!$I$8/'★対戦リーグ表★'!D26</f>
        <v>337</v>
      </c>
      <c r="O26" s="409">
        <f t="shared" si="41"/>
      </c>
      <c r="P26" s="415">
        <f t="shared" si="42"/>
        <v>337</v>
      </c>
      <c r="Q26" s="279">
        <f>K26*100000+N26</f>
        <v>200337</v>
      </c>
      <c r="R26" s="351">
        <f>IF(COUNTBLANK(E26:J26)=6,"",RANK(Q26,Q22:Q27))</f>
        <v>4</v>
      </c>
      <c r="S26" s="455">
        <f>IF('結果入力表'!H39="","",'結果入力表'!H39)</f>
      </c>
      <c r="T26" s="457">
        <f>IF('結果入力表'!H11="","",'結果入力表'!H11)</f>
      </c>
      <c r="U26" s="457">
        <f>IF('結果入力表'!E53="","",'結果入力表'!E53)</f>
      </c>
      <c r="V26" s="457">
        <f>IF('結果入力表'!H88="","",'結果入力表'!H88)</f>
      </c>
      <c r="W26" s="456"/>
      <c r="X26" s="458">
        <f>IF('結果入力表'!E67="","",'結果入力表'!E67)</f>
      </c>
      <c r="Y26" s="275">
        <v>57</v>
      </c>
      <c r="Z26" s="27" t="str">
        <f t="shared" si="43"/>
        <v>SBC</v>
      </c>
      <c r="AA26" s="368" t="str">
        <f>VLOOKUP(Y26,'登録'!$AE$2:$AH$55,3,FALSE)</f>
        <v>酒井 美希</v>
      </c>
      <c r="AB26" s="366">
        <f>VLOOKUP(Y26,'登録'!$AE$2:$AH$55,4,FALSE)</f>
        <v>100</v>
      </c>
      <c r="AC26" s="298">
        <f>'★個人成績表★'!J47</f>
        <v>63</v>
      </c>
      <c r="AD26" s="295">
        <f>'★個人成績表★'!I47</f>
        <v>46</v>
      </c>
      <c r="AE26" s="295" t="str">
        <f>'★個人成績表★'!K47</f>
        <v>w</v>
      </c>
      <c r="AF26" s="295">
        <f>'★個人成績表★'!M47</f>
        <v>58</v>
      </c>
      <c r="AG26" s="294"/>
      <c r="AH26" s="295">
        <f>'★個人成績表★'!L47</f>
        <v>43</v>
      </c>
      <c r="AI26" s="281">
        <f t="shared" si="44"/>
        <v>1</v>
      </c>
      <c r="AJ26" s="282">
        <f t="shared" si="45"/>
        <v>4</v>
      </c>
      <c r="AK26" s="283">
        <f t="shared" si="46"/>
        <v>310</v>
      </c>
      <c r="AL26" s="283">
        <f>AK26*'登録'!$I$8/'★対戦リーグ表★'!AB26</f>
        <v>372</v>
      </c>
      <c r="AM26" s="409" t="str">
        <f t="shared" si="47"/>
        <v>*</v>
      </c>
      <c r="AN26" s="415">
        <f t="shared" si="48"/>
        <v>372</v>
      </c>
      <c r="AO26" s="279">
        <f>AI26*100000+AL26</f>
        <v>100372</v>
      </c>
      <c r="AP26" s="351">
        <f>IF(COUNTBLANK(AC26:AH26)=6,"",RANK(AO26,AO22:AO27))</f>
        <v>5</v>
      </c>
      <c r="AQ26" s="455">
        <f>IF('結果入力表'!H144="","",'結果入力表'!H144)</f>
      </c>
      <c r="AR26" s="457">
        <f>IF('結果入力表'!H116="","",'結果入力表'!H116)</f>
      </c>
      <c r="AS26" s="457">
        <f>IF('結果入力表'!E158="","",'結果入力表'!E158)</f>
      </c>
      <c r="AT26" s="457">
        <f>IF('結果入力表'!H193="","",'結果入力表'!H193)</f>
      </c>
      <c r="AU26" s="456"/>
      <c r="AV26" s="458">
        <f>IF('結果入力表'!E172="","",'結果入力表'!E172)</f>
      </c>
      <c r="AX26" s="361">
        <f t="shared" si="49"/>
        <v>17</v>
      </c>
      <c r="AZ26" s="361" t="str">
        <f t="shared" si="50"/>
        <v>大橋 義治</v>
      </c>
      <c r="BA26" s="361" t="str">
        <f t="shared" si="32"/>
        <v>SBC</v>
      </c>
      <c r="BB26" s="364">
        <f>IF(LEFT(S26,1)="A","A",IF(LEFT(S26,1)="B","B",S26))</f>
      </c>
      <c r="BC26" s="364">
        <f>IF(LEFT(T26,1)="A","A",IF(LEFT(T26,1)="B","B",T26))</f>
      </c>
      <c r="BD26" s="364">
        <f>IF(LEFT(U26,1)="A","A",IF(LEFT(U26,1)="B","B",U26))</f>
      </c>
      <c r="BE26" s="364">
        <f>IF(LEFT(V26,1)="A","A",IF(LEFT(V26,1)="B","B",V26))</f>
      </c>
      <c r="BF26" s="364">
        <f>IF(LEFT(X26,1)="A","A",IF(LEFT(X26,1)="B","B",X26))</f>
      </c>
      <c r="BG26" s="364">
        <f>IF(LEFT(AQ50,1)="A","A",IF(LEFT(AQ50,1)="B","B",AQ50))</f>
      </c>
      <c r="BH26" s="364">
        <f>IF(LEFT(AR50,1)="A","A",IF(LEFT(AR50,1)="B","B",AR50))</f>
      </c>
      <c r="BI26" s="364">
        <f>IF(LEFT(AS50,1)="A","A",IF(LEFT(AS50,1)="B","B",AS50))</f>
      </c>
      <c r="BJ26" s="364">
        <f>IF(LEFT(AT50,1)="A","A",IF(LEFT(AT50,1)="B","B",AT50))</f>
      </c>
      <c r="BK26" s="364">
        <f>IF(LEFT(AV50,1)="A","A",IF(LEFT(AV50,1)="B","B",AV50))</f>
      </c>
      <c r="BL26" s="361">
        <f>IF(BM26&gt;0,"A"&amp;'登録'!$I$8,IF(BN26&gt;0,"B"&amp;'登録'!$I$8,BO26))</f>
        <v>0</v>
      </c>
      <c r="BM26" s="361">
        <f t="shared" si="51"/>
        <v>0</v>
      </c>
      <c r="BN26" s="361">
        <f t="shared" si="51"/>
        <v>0</v>
      </c>
      <c r="BO26" s="361">
        <f t="shared" si="34"/>
        <v>0</v>
      </c>
      <c r="BP26" s="361">
        <f t="shared" si="52"/>
        <v>0</v>
      </c>
      <c r="BQ26" s="361"/>
      <c r="BR26" s="361" t="str">
        <f>'★個人成績表★'!B25</f>
        <v>吉岡 保俊</v>
      </c>
      <c r="BS26" s="361">
        <f t="shared" si="53"/>
        <v>118</v>
      </c>
    </row>
    <row r="27" spans="1:71" s="274" customFormat="1" ht="15" customHeight="1" thickBot="1">
      <c r="A27" s="275">
        <v>6</v>
      </c>
      <c r="B27" s="355" t="str">
        <f t="shared" si="37"/>
        <v>WRC</v>
      </c>
      <c r="C27" s="369" t="str">
        <f>IF(B27="","",VLOOKUP(VALUE(A27&amp;B21),'登録'!$AE$2:$AH$55,3,FALSE))</f>
        <v>丹次 力良</v>
      </c>
      <c r="D27" s="352">
        <f>IF(B27="","",VLOOKUP(VALUE(A27&amp;B21),'登録'!$AE$2:$AH$55,4,FALSE))</f>
        <v>120</v>
      </c>
      <c r="E27" s="304">
        <f>'★個人成績表★'!D52</f>
        <v>10</v>
      </c>
      <c r="F27" s="296">
        <f>'★個人成績表★'!F52</f>
        <v>30</v>
      </c>
      <c r="G27" s="296">
        <f>'★個人成績表★'!H52</f>
        <v>57</v>
      </c>
      <c r="H27" s="296">
        <f>'★個人成績表★'!E52</f>
        <v>68</v>
      </c>
      <c r="I27" s="296" t="str">
        <f>'★個人成績表★'!G52</f>
        <v>w</v>
      </c>
      <c r="J27" s="297"/>
      <c r="K27" s="284">
        <f t="shared" si="38"/>
        <v>1</v>
      </c>
      <c r="L27" s="285">
        <f t="shared" si="39"/>
        <v>4</v>
      </c>
      <c r="M27" s="293">
        <f t="shared" si="40"/>
        <v>285</v>
      </c>
      <c r="N27" s="293">
        <f>M27*'登録'!$I$8/'★対戦リーグ表★'!D27</f>
        <v>285</v>
      </c>
      <c r="O27" s="296">
        <f t="shared" si="41"/>
      </c>
      <c r="P27" s="416">
        <f t="shared" si="42"/>
        <v>285</v>
      </c>
      <c r="Q27" s="286">
        <f>IF(D27="","",K27*100000+N27)</f>
        <v>100285</v>
      </c>
      <c r="R27" s="352">
        <f>IF(COUNTBLANK(E27:J27)=6,"",RANK(Q27,Q22:Q27))</f>
        <v>6</v>
      </c>
      <c r="S27" s="459">
        <f>IF('結果入力表'!H18="","",'結果入力表'!H18)</f>
      </c>
      <c r="T27" s="460">
        <f>IF('結果入力表'!E46="","",'結果入力表'!E46)</f>
      </c>
      <c r="U27" s="460">
        <f>IF('結果入力表'!H95="","",'結果入力表'!H95)</f>
      </c>
      <c r="V27" s="460">
        <f>IF('結果入力表'!E32="","",'結果入力表'!E32)</f>
      </c>
      <c r="W27" s="460">
        <f>IF('結果入力表'!H67="","",'結果入力表'!H67)</f>
      </c>
      <c r="X27" s="461"/>
      <c r="Y27" s="275">
        <v>61</v>
      </c>
      <c r="Z27" s="355" t="str">
        <f t="shared" si="43"/>
        <v>WRC</v>
      </c>
      <c r="AA27" s="369" t="str">
        <f>IF(Z27="","",VLOOKUP(Y27,'登録'!$AE$2:$AH$55,3,FALSE))</f>
        <v>末岡　修</v>
      </c>
      <c r="AB27" s="352">
        <f>IF(Z27="","",VLOOKUP(Y27,'登録'!$AE$2:$AH$55,4,FALSE))</f>
        <v>120</v>
      </c>
      <c r="AC27" s="304">
        <f>'★個人成績表★'!I50</f>
        <v>9</v>
      </c>
      <c r="AD27" s="296" t="str">
        <f>'★個人成績表★'!K50</f>
        <v>w</v>
      </c>
      <c r="AE27" s="296" t="str">
        <f>'★個人成績表★'!M50</f>
        <v>w</v>
      </c>
      <c r="AF27" s="296" t="str">
        <f>'★個人成績表★'!J50</f>
        <v>w</v>
      </c>
      <c r="AG27" s="296" t="str">
        <f>'★個人成績表★'!L50</f>
        <v>w</v>
      </c>
      <c r="AH27" s="297"/>
      <c r="AI27" s="284">
        <f t="shared" si="44"/>
        <v>4</v>
      </c>
      <c r="AJ27" s="285">
        <f t="shared" si="45"/>
        <v>1</v>
      </c>
      <c r="AK27" s="293">
        <f t="shared" si="46"/>
        <v>489</v>
      </c>
      <c r="AL27" s="293">
        <f>AK27*'登録'!$I$8/'★対戦リーグ表★'!AB27</f>
        <v>489</v>
      </c>
      <c r="AM27" s="296">
        <f t="shared" si="47"/>
      </c>
      <c r="AN27" s="416">
        <f t="shared" si="48"/>
        <v>489</v>
      </c>
      <c r="AO27" s="286">
        <f>IF(AB27="","",AI27*100000+AL27)</f>
        <v>400489</v>
      </c>
      <c r="AP27" s="352">
        <f>IF(COUNTBLANK(AC27:AH27)=6,"",RANK(AO27,AO22:AO27))</f>
        <v>2</v>
      </c>
      <c r="AQ27" s="459">
        <f>IF('結果入力表'!H123="","",'結果入力表'!H123)</f>
      </c>
      <c r="AR27" s="460">
        <f>IF('結果入力表'!E151="","",'結果入力表'!E151)</f>
      </c>
      <c r="AS27" s="460">
        <f>IF('結果入力表'!H200="","",'結果入力表'!H200)</f>
      </c>
      <c r="AT27" s="460">
        <f>IF('結果入力表'!E137="","",'結果入力表'!E137)</f>
      </c>
      <c r="AU27" s="460">
        <f>IF('結果入力表'!H172="","",'結果入力表'!H172)</f>
      </c>
      <c r="AV27" s="461"/>
      <c r="AX27" s="361">
        <f t="shared" si="49"/>
        <v>17</v>
      </c>
      <c r="AZ27" s="361" t="str">
        <f t="shared" si="50"/>
        <v>丹次 力良</v>
      </c>
      <c r="BA27" s="361" t="str">
        <f t="shared" si="32"/>
        <v>WRC</v>
      </c>
      <c r="BB27" s="364">
        <f>IF(LEFT(S27,1)="A","A",IF(LEFT(S27,1)="B","B",S27))</f>
      </c>
      <c r="BC27" s="364">
        <f>IF(LEFT(T27,1)="A","A",IF(LEFT(T27,1)="B","B",T27))</f>
      </c>
      <c r="BD27" s="364">
        <f>IF(LEFT(U27,1)="A","A",IF(LEFT(U27,1)="B","B",U27))</f>
      </c>
      <c r="BE27" s="364">
        <f>IF(LEFT(V27,1)="A","A",IF(LEFT(V27,1)="B","B",V27))</f>
      </c>
      <c r="BF27" s="364">
        <f>IF(LEFT(W27,1)="A","A",IF(LEFT(W27,1)="B","B",W27))</f>
      </c>
      <c r="BG27" s="364">
        <f>IF(LEFT(AQ43,1)="A","A",IF(LEFT(AQ43,1)="B","B",AQ43))</f>
      </c>
      <c r="BH27" s="364">
        <f>IF(LEFT(AR43,1)="A","A",IF(LEFT(AR43,1)="B","B",AR43))</f>
      </c>
      <c r="BI27" s="364">
        <f>IF(LEFT(AS43,1)="A","A",IF(LEFT(AS43,1)="B","B",AS43))</f>
      </c>
      <c r="BJ27" s="364">
        <f>IF(LEFT(AT43,1)="A","A",IF(LEFT(AT43,1)="B","B",AT43))</f>
      </c>
      <c r="BK27" s="364">
        <f>IF(LEFT(AU43,1)="A","A",IF(LEFT(AU43,1)="B","B",AU43))</f>
      </c>
      <c r="BL27" s="361">
        <f>IF(BM27&gt;0,"A"&amp;'登録'!$I$8,IF(BN27&gt;0,"B"&amp;'登録'!$I$8,BO27))</f>
        <v>0</v>
      </c>
      <c r="BM27" s="361">
        <f t="shared" si="51"/>
        <v>0</v>
      </c>
      <c r="BN27" s="361">
        <f t="shared" si="51"/>
        <v>0</v>
      </c>
      <c r="BO27" s="361">
        <f t="shared" si="34"/>
        <v>0</v>
      </c>
      <c r="BP27" s="361">
        <f t="shared" si="52"/>
        <v>0</v>
      </c>
      <c r="BQ27" s="361"/>
      <c r="BR27" s="361" t="str">
        <f>'★個人成績表★'!B26</f>
        <v>山田 玄英</v>
      </c>
      <c r="BS27" s="361">
        <f t="shared" si="53"/>
        <v>0</v>
      </c>
    </row>
    <row r="28" spans="2:71" s="274" customFormat="1" ht="15" customHeight="1" thickBot="1"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8"/>
      <c r="N28" s="288"/>
      <c r="O28" s="287"/>
      <c r="P28" s="417"/>
      <c r="Q28" s="288"/>
      <c r="R28" s="287"/>
      <c r="S28" s="462"/>
      <c r="T28" s="462"/>
      <c r="U28" s="462"/>
      <c r="V28" s="462"/>
      <c r="W28" s="462"/>
      <c r="X28" s="462"/>
      <c r="Y28" s="275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8"/>
      <c r="AL28" s="288"/>
      <c r="AM28" s="287"/>
      <c r="AN28" s="417"/>
      <c r="AO28" s="288"/>
      <c r="AP28" s="287"/>
      <c r="AQ28" s="462"/>
      <c r="AR28" s="462"/>
      <c r="AS28" s="462"/>
      <c r="AT28" s="462"/>
      <c r="AU28" s="462"/>
      <c r="AV28" s="462"/>
      <c r="AX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>
        <f>IF(BM28&gt;0,"A"&amp;'登録'!$I$8,IF(BN28&gt;0,"B"&amp;'登録'!$I$8,BO28))</f>
        <v>0</v>
      </c>
      <c r="BM28" s="361"/>
      <c r="BN28" s="361"/>
      <c r="BO28" s="361"/>
      <c r="BP28" s="361"/>
      <c r="BQ28" s="361"/>
      <c r="BR28" s="361" t="str">
        <f>'★個人成績表★'!B27</f>
        <v>由本　拓</v>
      </c>
      <c r="BS28" s="361">
        <f t="shared" si="53"/>
        <v>0</v>
      </c>
    </row>
    <row r="29" spans="2:71" s="274" customFormat="1" ht="15" customHeight="1" thickBot="1">
      <c r="B29" s="305">
        <v>4</v>
      </c>
      <c r="C29" s="300" t="s">
        <v>89</v>
      </c>
      <c r="D29" s="419" t="s">
        <v>124</v>
      </c>
      <c r="E29" s="356" t="str">
        <f>B30</f>
        <v>KRC</v>
      </c>
      <c r="F29" s="357" t="str">
        <f>B31</f>
        <v>HRC</v>
      </c>
      <c r="G29" s="357" t="str">
        <f>B32</f>
        <v>ORC</v>
      </c>
      <c r="H29" s="357" t="str">
        <f>B33</f>
        <v>NRC</v>
      </c>
      <c r="I29" s="357" t="str">
        <f>B34</f>
        <v>SBC</v>
      </c>
      <c r="J29" s="358" t="str">
        <f>B35</f>
        <v>WRC</v>
      </c>
      <c r="K29" s="347" t="s">
        <v>93</v>
      </c>
      <c r="L29" s="290" t="s">
        <v>94</v>
      </c>
      <c r="M29" s="301" t="s">
        <v>95</v>
      </c>
      <c r="N29" s="301" t="s">
        <v>99</v>
      </c>
      <c r="O29" s="410" t="s">
        <v>28</v>
      </c>
      <c r="P29" s="290"/>
      <c r="Q29" s="291" t="s">
        <v>96</v>
      </c>
      <c r="R29" s="348" t="s">
        <v>97</v>
      </c>
      <c r="S29" s="449"/>
      <c r="T29" s="450"/>
      <c r="U29" s="450"/>
      <c r="V29" s="450"/>
      <c r="W29" s="451"/>
      <c r="X29" s="451"/>
      <c r="Y29" s="275"/>
      <c r="Z29" s="305">
        <v>4</v>
      </c>
      <c r="AA29" s="300" t="s">
        <v>89</v>
      </c>
      <c r="AB29" s="419" t="s">
        <v>119</v>
      </c>
      <c r="AC29" s="356" t="str">
        <f>$B$6</f>
        <v>KRC</v>
      </c>
      <c r="AD29" s="357" t="str">
        <f>$B$7</f>
        <v>HRC</v>
      </c>
      <c r="AE29" s="357" t="str">
        <f>$B$8</f>
        <v>ORC</v>
      </c>
      <c r="AF29" s="357" t="str">
        <f>$B$9</f>
        <v>NRC</v>
      </c>
      <c r="AG29" s="357" t="str">
        <f>$B$10</f>
        <v>SBC</v>
      </c>
      <c r="AH29" s="358" t="str">
        <f>$B$11</f>
        <v>WRC</v>
      </c>
      <c r="AI29" s="347" t="s">
        <v>93</v>
      </c>
      <c r="AJ29" s="290" t="s">
        <v>94</v>
      </c>
      <c r="AK29" s="301" t="s">
        <v>95</v>
      </c>
      <c r="AL29" s="301" t="s">
        <v>99</v>
      </c>
      <c r="AM29" s="410" t="s">
        <v>28</v>
      </c>
      <c r="AN29" s="290"/>
      <c r="AO29" s="291" t="s">
        <v>96</v>
      </c>
      <c r="AP29" s="348" t="s">
        <v>97</v>
      </c>
      <c r="AQ29" s="449"/>
      <c r="AR29" s="450"/>
      <c r="AS29" s="450"/>
      <c r="AT29" s="450"/>
      <c r="AU29" s="451"/>
      <c r="AV29" s="451"/>
      <c r="AX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>
        <f>IF(BM29&gt;0,"A"&amp;'登録'!$I$8,IF(BN29&gt;0,"B"&amp;'登録'!$I$8,BO29))</f>
        <v>0</v>
      </c>
      <c r="BM29" s="361"/>
      <c r="BN29" s="361"/>
      <c r="BO29" s="361"/>
      <c r="BP29" s="361"/>
      <c r="BQ29" s="361"/>
      <c r="BR29" s="361" t="str">
        <f>'★個人成績表★'!B28</f>
        <v>田中 隆介</v>
      </c>
      <c r="BS29" s="361">
        <f t="shared" si="53"/>
        <v>0</v>
      </c>
    </row>
    <row r="30" spans="1:71" s="274" customFormat="1" ht="15" customHeight="1" thickTop="1">
      <c r="A30" s="275">
        <v>1</v>
      </c>
      <c r="B30" s="28" t="str">
        <f aca="true" t="shared" si="54" ref="B30:B35">B22</f>
        <v>KRC</v>
      </c>
      <c r="C30" s="367" t="str">
        <f>VLOOKUP(VALUE(A30&amp;B29),'登録'!$AE$2:$AH$55,3,FALSE)</f>
        <v>伊庭 保久</v>
      </c>
      <c r="D30" s="350">
        <f>VLOOKUP(VALUE(A30&amp;B29),'登録'!$AE$2:$AH$55,4,FALSE)</f>
        <v>120</v>
      </c>
      <c r="E30" s="306"/>
      <c r="F30" s="302" t="str">
        <f>'★個人成績表★'!H8</f>
        <v>w</v>
      </c>
      <c r="G30" s="302">
        <f>'★個人成績表★'!G8</f>
        <v>11</v>
      </c>
      <c r="H30" s="302">
        <f>'★個人成績表★'!F8</f>
        <v>35</v>
      </c>
      <c r="I30" s="302">
        <f>'★個人成績表★'!E8</f>
        <v>36</v>
      </c>
      <c r="J30" s="302">
        <f>'★個人成績表★'!D8</f>
        <v>106</v>
      </c>
      <c r="K30" s="349">
        <f aca="true" t="shared" si="55" ref="K30:K35">IF(COUNTBLANK(E30:J30)=6,"",COUNTIF(E30:J30,"w"))</f>
        <v>1</v>
      </c>
      <c r="L30" s="276">
        <f aca="true" t="shared" si="56" ref="L30:L35">IF(COUNTBLANK(E30:J30)=6,"",6-COUNTBLANK(E30:J30)-K30)</f>
        <v>4</v>
      </c>
      <c r="M30" s="303">
        <f aca="true" t="shared" si="57" ref="M30:M35">K30*D30+SUM(E30:J30)</f>
        <v>308</v>
      </c>
      <c r="N30" s="303">
        <f>M30*'登録'!$I$8/'★対戦リーグ表★'!D30</f>
        <v>308</v>
      </c>
      <c r="O30" s="420">
        <f aca="true" t="shared" si="58" ref="O30:O35">IF(ISERROR(N30),"",IF(M30=N30,"","*"))</f>
      </c>
      <c r="P30" s="414">
        <f aca="true" t="shared" si="59" ref="P30:P35">IF(COUNTBLANK(E30:J30)=6,"",N30)</f>
        <v>308</v>
      </c>
      <c r="Q30" s="277">
        <f>K30*100000+N30</f>
        <v>100308</v>
      </c>
      <c r="R30" s="350">
        <f>IF(COUNTBLANK(E30:J30)=6,"",RANK(Q30,Q30:Q35))</f>
        <v>5</v>
      </c>
      <c r="S30" s="452"/>
      <c r="T30" s="453">
        <f>IF('結果入力表'!E103="","",'結果入力表'!E103)</f>
      </c>
      <c r="U30" s="453">
        <f>IF('結果入力表'!E82="","",'結果入力表'!E82)</f>
      </c>
      <c r="V30" s="453">
        <f>IF('結果入力表'!E61="","",'結果入力表'!E61)</f>
      </c>
      <c r="W30" s="453">
        <f>IF('結果入力表'!E40="","",'結果入力表'!E40)</f>
      </c>
      <c r="X30" s="454">
        <f>IF('結果入力表'!E19="","",'結果入力表'!E19)</f>
      </c>
      <c r="Y30" s="275">
        <v>14</v>
      </c>
      <c r="Z30" s="28" t="str">
        <f aca="true" t="shared" si="60" ref="Z30:Z35">Z22</f>
        <v>KRC</v>
      </c>
      <c r="AA30" s="367" t="str">
        <f>VLOOKUP(Y30,'登録'!$AE$2:$AH$55,3,FALSE)</f>
        <v>伊庭 保久</v>
      </c>
      <c r="AB30" s="350">
        <f>VLOOKUP(Y30,'登録'!$AE$2:$AH$55,4,FALSE)</f>
        <v>120</v>
      </c>
      <c r="AC30" s="306"/>
      <c r="AD30" s="302" t="str">
        <f>'★個人成績表★'!M8</f>
        <v>w</v>
      </c>
      <c r="AE30" s="302" t="str">
        <f>'★個人成績表★'!L8</f>
        <v>w</v>
      </c>
      <c r="AF30" s="302" t="str">
        <f>'★個人成績表★'!K8</f>
        <v>w</v>
      </c>
      <c r="AG30" s="302">
        <f>'★個人成績表★'!J8</f>
        <v>55</v>
      </c>
      <c r="AH30" s="302" t="str">
        <f>'★個人成績表★'!I8</f>
        <v>w</v>
      </c>
      <c r="AI30" s="349">
        <f aca="true" t="shared" si="61" ref="AI30:AI35">IF(COUNTBLANK(AC30:AH30)=6,"",COUNTIF(AC30:AH30,"w"))</f>
        <v>4</v>
      </c>
      <c r="AJ30" s="276">
        <f aca="true" t="shared" si="62" ref="AJ30:AJ35">IF(COUNTBLANK(AC30:AH30)=6,"",6-COUNTBLANK(AC30:AH30)-AI30)</f>
        <v>1</v>
      </c>
      <c r="AK30" s="303">
        <f aca="true" t="shared" si="63" ref="AK30:AK35">AI30*AB30+SUM(AC30:AH30)</f>
        <v>535</v>
      </c>
      <c r="AL30" s="303">
        <f>AK30*'登録'!$I$8/'★対戦リーグ表★'!AB30</f>
        <v>535</v>
      </c>
      <c r="AM30" s="420">
        <f aca="true" t="shared" si="64" ref="AM30:AM35">IF(ISERROR(AL30),"",IF(AK30=AL30,"","*"))</f>
      </c>
      <c r="AN30" s="414">
        <f aca="true" t="shared" si="65" ref="AN30:AN35">IF(COUNTBLANK(AC30:AH30)=6,"",AL30)</f>
        <v>535</v>
      </c>
      <c r="AO30" s="277">
        <f>AI30*100000+AL30</f>
        <v>400535</v>
      </c>
      <c r="AP30" s="350">
        <f>IF(COUNTBLANK(AC30:AH30)=6,"",RANK(AO30,AO30:AO35))</f>
        <v>1</v>
      </c>
      <c r="AQ30" s="452"/>
      <c r="AR30" s="453">
        <f>IF('結果入力表'!E208="","",'結果入力表'!E208)</f>
        <v>107</v>
      </c>
      <c r="AS30" s="453">
        <f>IF('結果入力表'!E187="","",'結果入力表'!E187)</f>
      </c>
      <c r="AT30" s="453">
        <f>IF('結果入力表'!E166="","",'結果入力表'!E166)</f>
      </c>
      <c r="AU30" s="453">
        <f>IF('結果入力表'!E145="","",'結果入力表'!E145)</f>
      </c>
      <c r="AV30" s="454">
        <f>IF('結果入力表'!E124="","",'結果入力表'!E124)</f>
      </c>
      <c r="AX30" s="361">
        <f aca="true" t="shared" si="66" ref="AX30:AX35">RANK(BP30,$BP$6:$BP$59)</f>
        <v>9</v>
      </c>
      <c r="AZ30" s="361" t="str">
        <f aca="true" t="shared" si="67" ref="AZ30:AZ35">C30</f>
        <v>伊庭 保久</v>
      </c>
      <c r="BA30" s="361" t="str">
        <f>B30</f>
        <v>KRC</v>
      </c>
      <c r="BB30" s="364">
        <f>IF(LEFT(T30,1)="A","A",IF(LEFT(T30,1)="B","B",T30))</f>
      </c>
      <c r="BC30" s="364">
        <f>IF(LEFT(U30,1)="A","A",IF(LEFT(U30,1)="B","B",U30))</f>
      </c>
      <c r="BD30" s="364">
        <f>IF(LEFT(V30,1)="A","A",IF(LEFT(V30,1)="B","B",V30))</f>
      </c>
      <c r="BE30" s="364">
        <f>IF(LEFT(W30,1)="A","A",IF(LEFT(W30,1)="B","B",W30))</f>
      </c>
      <c r="BF30" s="364">
        <f>IF(LEFT(X30,1)="A","A",IF(LEFT(X30,1)="B","B",X30))</f>
      </c>
      <c r="BG30" s="364">
        <f>IF(LEFT(AR30,1)="A","A",IF(LEFT(AR30,1)="B","B",AR30))</f>
        <v>107</v>
      </c>
      <c r="BH30" s="364">
        <f>IF(LEFT(AS30,1)="A","A",IF(LEFT(AS30,1)="B","B",AS30))</f>
      </c>
      <c r="BI30" s="364">
        <f>IF(LEFT(AT30,1)="A","A",IF(LEFT(AT30,1)="B","B",AT30))</f>
      </c>
      <c r="BJ30" s="364">
        <f>IF(LEFT(AU30,1)="A","A",IF(LEFT(AU30,1)="B","B",AU30))</f>
      </c>
      <c r="BK30" s="364">
        <f>IF(LEFT(AV30,1)="A","A",IF(LEFT(AV30,1)="B","B",AV30))</f>
      </c>
      <c r="BL30" s="361">
        <f>IF(BM30&gt;0,"A"&amp;'登録'!$I$8,IF(BN30&gt;0,"B"&amp;'登録'!$I$8,BO30))</f>
        <v>107</v>
      </c>
      <c r="BM30" s="361">
        <f aca="true" t="shared" si="68" ref="BM30:BN35">COUNTIF($BB30:$BK30,BM$5)</f>
        <v>0</v>
      </c>
      <c r="BN30" s="361">
        <f t="shared" si="68"/>
        <v>0</v>
      </c>
      <c r="BO30" s="361">
        <f>MAX(BB30:BK30)</f>
        <v>107</v>
      </c>
      <c r="BP30" s="361">
        <f aca="true" t="shared" si="69" ref="BP30:BP35">BM30*10000+BN30*1000+BO30</f>
        <v>107</v>
      </c>
      <c r="BQ30" s="361"/>
      <c r="BR30" s="361" t="str">
        <f>'★個人成績表★'!B29</f>
        <v>西田 恵子</v>
      </c>
      <c r="BS30" s="361">
        <f t="shared" si="53"/>
        <v>0</v>
      </c>
    </row>
    <row r="31" spans="1:70" s="274" customFormat="1" ht="15" customHeight="1">
      <c r="A31" s="275">
        <v>2</v>
      </c>
      <c r="B31" s="27" t="str">
        <f t="shared" si="54"/>
        <v>HRC</v>
      </c>
      <c r="C31" s="368" t="str">
        <f>VLOOKUP(VALUE(A31&amp;B29),'登録'!$AE$2:$AH$55,3,FALSE)</f>
        <v>後藤 勇治</v>
      </c>
      <c r="D31" s="351">
        <f>VLOOKUP(VALUE(A31&amp;B29),'登録'!$AE$2:$AH$55,4,FALSE)</f>
        <v>120</v>
      </c>
      <c r="E31" s="298">
        <f>'★個人成績表★'!H17</f>
        <v>47</v>
      </c>
      <c r="F31" s="294"/>
      <c r="G31" s="295">
        <f>'★個人成績表★'!E17</f>
        <v>40</v>
      </c>
      <c r="H31" s="295">
        <f>'★個人成績表★'!G17</f>
        <v>28</v>
      </c>
      <c r="I31" s="295" t="str">
        <f>'★個人成績表★'!D17</f>
        <v>w</v>
      </c>
      <c r="J31" s="295">
        <f>'★個人成績表★'!F17</f>
        <v>2</v>
      </c>
      <c r="K31" s="280">
        <f t="shared" si="55"/>
        <v>1</v>
      </c>
      <c r="L31" s="278">
        <f t="shared" si="56"/>
        <v>4</v>
      </c>
      <c r="M31" s="299">
        <f t="shared" si="57"/>
        <v>237</v>
      </c>
      <c r="N31" s="299">
        <f>M31*'登録'!$I$8/'★対戦リーグ表★'!D31</f>
        <v>237</v>
      </c>
      <c r="O31" s="421">
        <f t="shared" si="58"/>
      </c>
      <c r="P31" s="415">
        <f t="shared" si="59"/>
        <v>237</v>
      </c>
      <c r="Q31" s="279">
        <f>K31*100000+N31</f>
        <v>100237</v>
      </c>
      <c r="R31" s="351">
        <f>IF(COUNTBLANK(E31:J31)=6,"",RANK(Q31,Q30:Q35))</f>
        <v>6</v>
      </c>
      <c r="S31" s="455">
        <f>IF('結果入力表'!H103="","",'結果入力表'!H103)</f>
      </c>
      <c r="T31" s="456"/>
      <c r="U31" s="457">
        <f>IF('結果入力表'!E26="","",'結果入力表'!E26)</f>
      </c>
      <c r="V31" s="457">
        <f>IF('結果入力表'!H75="","",'結果入力表'!H75)</f>
      </c>
      <c r="W31" s="457">
        <f>IF('結果入力表'!E12="","",'結果入力表'!E12)</f>
      </c>
      <c r="X31" s="458">
        <f>IF('結果入力表'!H47="","",'結果入力表'!H47)</f>
      </c>
      <c r="Y31" s="275">
        <v>25</v>
      </c>
      <c r="Z31" s="27" t="str">
        <f t="shared" si="60"/>
        <v>HRC</v>
      </c>
      <c r="AA31" s="368" t="str">
        <f>VLOOKUP(Y31,'登録'!$AE$2:$AH$55,3,FALSE)</f>
        <v>丹羽 俊也</v>
      </c>
      <c r="AB31" s="351">
        <f>VLOOKUP(Y31,'登録'!$AE$2:$AH$55,4,FALSE)</f>
        <v>120</v>
      </c>
      <c r="AC31" s="298">
        <f>'★個人成績表★'!M18</f>
        <v>0</v>
      </c>
      <c r="AD31" s="294"/>
      <c r="AE31" s="295">
        <f>'★個人成績表★'!J18</f>
        <v>16</v>
      </c>
      <c r="AF31" s="295" t="str">
        <f>'★個人成績表★'!L18</f>
        <v>w</v>
      </c>
      <c r="AG31" s="295" t="str">
        <f>'★個人成績表★'!I18</f>
        <v>w</v>
      </c>
      <c r="AH31" s="295">
        <f>'★個人成績表★'!K18</f>
        <v>110</v>
      </c>
      <c r="AI31" s="280">
        <f t="shared" si="61"/>
        <v>2</v>
      </c>
      <c r="AJ31" s="278">
        <f t="shared" si="62"/>
        <v>3</v>
      </c>
      <c r="AK31" s="299">
        <f t="shared" si="63"/>
        <v>366</v>
      </c>
      <c r="AL31" s="299">
        <f>AK31*'登録'!$I$8/'★対戦リーグ表★'!AB31</f>
        <v>366</v>
      </c>
      <c r="AM31" s="421">
        <f t="shared" si="64"/>
      </c>
      <c r="AN31" s="415">
        <f t="shared" si="65"/>
        <v>366</v>
      </c>
      <c r="AO31" s="279">
        <f>AI31*100000+AL31</f>
        <v>200366</v>
      </c>
      <c r="AP31" s="351">
        <f>IF(COUNTBLANK(AC31:AH31)=6,"",RANK(AO31,AO30:AO35))</f>
        <v>4</v>
      </c>
      <c r="AQ31" s="455">
        <f>IF('結果入力表'!H208="","",'結果入力表'!H208)</f>
      </c>
      <c r="AR31" s="456"/>
      <c r="AS31" s="457">
        <f>IF('結果入力表'!E131="","",'結果入力表'!E131)</f>
      </c>
      <c r="AT31" s="457">
        <f>IF('結果入力表'!H180="","",'結果入力表'!H180)</f>
      </c>
      <c r="AU31" s="457">
        <f>IF('結果入力表'!E117="","",'結果入力表'!E117)</f>
      </c>
      <c r="AV31" s="458">
        <f>IF('結果入力表'!H152="","",'結果入力表'!H152)</f>
      </c>
      <c r="AX31" s="361">
        <f t="shared" si="66"/>
        <v>17</v>
      </c>
      <c r="AZ31" s="361" t="str">
        <f t="shared" si="67"/>
        <v>後藤 勇治</v>
      </c>
      <c r="BA31" s="361" t="str">
        <f t="shared" si="32"/>
        <v>HRC</v>
      </c>
      <c r="BB31" s="364">
        <f>IF(LEFT(S31,1)="A","A",IF(LEFT(S31,1)="B","B",S31))</f>
      </c>
      <c r="BC31" s="364">
        <f>IF(LEFT(U31,1)="A","A",IF(LEFT(U31,1)="B","B",U31))</f>
      </c>
      <c r="BD31" s="364">
        <f>IF(LEFT(V31,1)="A","A",IF(LEFT(V31,1)="B","B",V31))</f>
      </c>
      <c r="BE31" s="364">
        <f>IF(LEFT(W31,1)="A","A",IF(LEFT(W31,1)="B","B",W31))</f>
      </c>
      <c r="BF31" s="364">
        <f>IF(LEFT(X31,1)="A","A",IF(LEFT(X31,1)="B","B",X31))</f>
      </c>
      <c r="BG31" s="364">
        <f>IF(LEFT(AQ23,1)="A","A",IF(LEFT(AQ23,1)="B","B",AQ23))</f>
      </c>
      <c r="BH31" s="364">
        <f>IF(LEFT(AS23,1)="A","A",IF(LEFT(AS23,1)="B","B",AS23))</f>
      </c>
      <c r="BI31" s="364">
        <f>IF(LEFT(AT23,1)="A","A",IF(LEFT(AT23,1)="B","B",AT23))</f>
      </c>
      <c r="BJ31" s="364">
        <f>IF(LEFT(AU23,1)="A","A",IF(LEFT(AU23,1)="B","B",AU23))</f>
      </c>
      <c r="BK31" s="364">
        <f>IF(LEFT(AV23,1)="A","A",IF(LEFT(AV23,1)="B","B",AV23))</f>
      </c>
      <c r="BL31" s="361">
        <f>IF(BM31&gt;0,"A"&amp;'登録'!$I$8,IF(BN31&gt;0,"B"&amp;'登録'!$I$8,BO31))</f>
        <v>0</v>
      </c>
      <c r="BM31" s="361">
        <f t="shared" si="68"/>
        <v>0</v>
      </c>
      <c r="BN31" s="361">
        <f t="shared" si="68"/>
        <v>0</v>
      </c>
      <c r="BO31" s="361">
        <f t="shared" si="34"/>
        <v>0</v>
      </c>
      <c r="BP31" s="361">
        <f t="shared" si="69"/>
        <v>0</v>
      </c>
      <c r="BQ31" s="361"/>
      <c r="BR31" s="361"/>
    </row>
    <row r="32" spans="1:70" s="274" customFormat="1" ht="15" customHeight="1">
      <c r="A32" s="275">
        <v>3</v>
      </c>
      <c r="B32" s="27" t="str">
        <f t="shared" si="54"/>
        <v>ORC</v>
      </c>
      <c r="C32" s="368" t="str">
        <f>VLOOKUP(VALUE(A32&amp;B29),'登録'!$AE$2:$AH$55,3,FALSE)</f>
        <v>山田 玄英</v>
      </c>
      <c r="D32" s="351">
        <f>VLOOKUP(VALUE(A32&amp;B29),'登録'!$AE$2:$AH$55,4,FALSE)</f>
        <v>120</v>
      </c>
      <c r="E32" s="298" t="str">
        <f>'★個人成績表★'!G26</f>
        <v>w</v>
      </c>
      <c r="F32" s="295" t="str">
        <f>'★個人成績表★'!E26</f>
        <v>w</v>
      </c>
      <c r="G32" s="294"/>
      <c r="H32" s="295" t="str">
        <f>'★個人成績表★'!D26</f>
        <v>w</v>
      </c>
      <c r="I32" s="295" t="str">
        <f>'★個人成績表★'!F26</f>
        <v>w</v>
      </c>
      <c r="J32" s="295" t="str">
        <f>'★個人成績表★'!H26</f>
        <v>w</v>
      </c>
      <c r="K32" s="280">
        <f t="shared" si="55"/>
        <v>5</v>
      </c>
      <c r="L32" s="278">
        <f t="shared" si="56"/>
        <v>0</v>
      </c>
      <c r="M32" s="299">
        <f t="shared" si="57"/>
        <v>600</v>
      </c>
      <c r="N32" s="299">
        <f>M32*'登録'!$I$8/'★対戦リーグ表★'!D32</f>
        <v>600</v>
      </c>
      <c r="O32" s="421">
        <f t="shared" si="58"/>
      </c>
      <c r="P32" s="415">
        <f t="shared" si="59"/>
        <v>600</v>
      </c>
      <c r="Q32" s="279">
        <f>K32*100000+N32</f>
        <v>500600</v>
      </c>
      <c r="R32" s="351">
        <f>IF(COUNTBLANK(E32:J32)=6,"",RANK(Q32,Q30:Q35))</f>
        <v>1</v>
      </c>
      <c r="S32" s="455">
        <f>IF('結果入力表'!H82="","",'結果入力表'!H82)</f>
      </c>
      <c r="T32" s="457">
        <f>IF('結果入力表'!H26="","",'結果入力表'!H26)</f>
      </c>
      <c r="U32" s="456"/>
      <c r="V32" s="457">
        <f>IF('結果入力表'!E5="","",'結果入力表'!E5)</f>
      </c>
      <c r="W32" s="457">
        <f>IF('結果入力表'!H54="","",'結果入力表'!H54)</f>
      </c>
      <c r="X32" s="458">
        <f>IF('結果入力表'!E96="","",'結果入力表'!E96)</f>
      </c>
      <c r="Y32" s="275">
        <v>36</v>
      </c>
      <c r="Z32" s="27" t="str">
        <f t="shared" si="60"/>
        <v>ORC</v>
      </c>
      <c r="AA32" s="368" t="str">
        <f>VLOOKUP(Y32,'登録'!$AE$2:$AH$55,3,FALSE)</f>
        <v>田中 隆介</v>
      </c>
      <c r="AB32" s="351">
        <f>VLOOKUP(Y32,'登録'!$AE$2:$AH$55,4,FALSE)</f>
        <v>120</v>
      </c>
      <c r="AC32" s="298">
        <f>'★個人成績表★'!L28</f>
        <v>54</v>
      </c>
      <c r="AD32" s="295" t="str">
        <f>'★個人成績表★'!J28</f>
        <v>w</v>
      </c>
      <c r="AE32" s="294"/>
      <c r="AF32" s="295" t="str">
        <f>'★個人成績表★'!I28</f>
        <v>w</v>
      </c>
      <c r="AG32" s="295" t="str">
        <f>'★個人成績表★'!K28</f>
        <v>w</v>
      </c>
      <c r="AH32" s="295" t="str">
        <f>'★個人成績表★'!M28</f>
        <v>w</v>
      </c>
      <c r="AI32" s="280">
        <f t="shared" si="61"/>
        <v>4</v>
      </c>
      <c r="AJ32" s="278">
        <f t="shared" si="62"/>
        <v>1</v>
      </c>
      <c r="AK32" s="299">
        <f t="shared" si="63"/>
        <v>534</v>
      </c>
      <c r="AL32" s="299">
        <f>AK32*'登録'!$I$8/'★対戦リーグ表★'!AB32</f>
        <v>534</v>
      </c>
      <c r="AM32" s="421">
        <f t="shared" si="64"/>
      </c>
      <c r="AN32" s="415">
        <f t="shared" si="65"/>
        <v>534</v>
      </c>
      <c r="AO32" s="279">
        <f>AI32*100000+AL32</f>
        <v>400534</v>
      </c>
      <c r="AP32" s="351">
        <f>IF(COUNTBLANK(AC32:AH32)=6,"",RANK(AO32,AO30:AO35))</f>
        <v>2</v>
      </c>
      <c r="AQ32" s="455">
        <f>IF('結果入力表'!H187="","",'結果入力表'!H187)</f>
      </c>
      <c r="AR32" s="457">
        <f>IF('結果入力表'!H131="","",'結果入力表'!H131)</f>
      </c>
      <c r="AS32" s="456"/>
      <c r="AT32" s="457">
        <f>IF('結果入力表'!E110="","",'結果入力表'!E110)</f>
      </c>
      <c r="AU32" s="457">
        <f>IF('結果入力表'!H159="","",'結果入力表'!H159)</f>
      </c>
      <c r="AV32" s="458">
        <f>IF('結果入力表'!E201="","",'結果入力表'!E201)</f>
      </c>
      <c r="AX32" s="361">
        <f t="shared" si="66"/>
        <v>17</v>
      </c>
      <c r="AZ32" s="361" t="str">
        <f t="shared" si="67"/>
        <v>山田 玄英</v>
      </c>
      <c r="BA32" s="361" t="str">
        <f t="shared" si="32"/>
        <v>ORC</v>
      </c>
      <c r="BB32" s="364">
        <f>IF(LEFT(S32,1)="A","A",IF(LEFT(S32,1)="B","B",S32))</f>
      </c>
      <c r="BC32" s="364">
        <f>IF(LEFT(T32,1)="A","A",IF(LEFT(T32,1)="B","B",T32))</f>
      </c>
      <c r="BD32" s="364">
        <f>IF(LEFT(V32,1)="A","A",IF(LEFT(V32,1)="B","B",V32))</f>
      </c>
      <c r="BE32" s="364">
        <f>IF(LEFT(W32,1)="A","A",IF(LEFT(W32,1)="B","B",W32))</f>
      </c>
      <c r="BF32" s="364">
        <f>IF(LEFT(X32,1)="A","A",IF(LEFT(X32,1)="B","B",X32))</f>
      </c>
      <c r="BG32" s="364">
        <f>IF(LEFT(AQ16,1)="A","A",IF(LEFT(AQ16,1)="B","B",AQ16))</f>
      </c>
      <c r="BH32" s="364">
        <f>IF(LEFT(AR16,1)="A","A",IF(LEFT(AR16,1)="B","B",AR16))</f>
      </c>
      <c r="BI32" s="364">
        <f>IF(LEFT(AT16,1)="A","A",IF(LEFT(AT16,1)="B","B",AT16))</f>
      </c>
      <c r="BJ32" s="364">
        <f>IF(LEFT(AU16,1)="A","A",IF(LEFT(AU16,1)="B","B",AU16))</f>
      </c>
      <c r="BK32" s="364">
        <f>IF(LEFT(AV16,1)="A","A",IF(LEFT(AV16,1)="B","B",AV16))</f>
      </c>
      <c r="BL32" s="361">
        <f>IF(BM32&gt;0,"A"&amp;'登録'!$I$8,IF(BN32&gt;0,"B"&amp;'登録'!$I$8,BO32))</f>
        <v>0</v>
      </c>
      <c r="BM32" s="361">
        <f t="shared" si="68"/>
        <v>0</v>
      </c>
      <c r="BN32" s="361">
        <f t="shared" si="68"/>
        <v>0</v>
      </c>
      <c r="BO32" s="361">
        <f t="shared" si="34"/>
        <v>0</v>
      </c>
      <c r="BP32" s="361">
        <f t="shared" si="69"/>
        <v>0</v>
      </c>
      <c r="BQ32" s="361"/>
      <c r="BR32" s="361"/>
    </row>
    <row r="33" spans="1:71" s="274" customFormat="1" ht="15" customHeight="1">
      <c r="A33" s="275">
        <v>4</v>
      </c>
      <c r="B33" s="27" t="str">
        <f t="shared" si="54"/>
        <v>NRC</v>
      </c>
      <c r="C33" s="368" t="str">
        <f>VLOOKUP(VALUE(A33&amp;B29),'登録'!$AE$2:$AH$55,3,FALSE)</f>
        <v>山田 普之</v>
      </c>
      <c r="D33" s="351">
        <f>VLOOKUP(VALUE(A33&amp;B29),'登録'!$AE$2:$AH$55,4,FALSE)</f>
        <v>120</v>
      </c>
      <c r="E33" s="298" t="str">
        <f>'★個人成績表★'!F35</f>
        <v>w</v>
      </c>
      <c r="F33" s="295" t="str">
        <f>'★個人成績表★'!G35</f>
        <v>w</v>
      </c>
      <c r="G33" s="295">
        <f>'★個人成績表★'!D35</f>
        <v>92</v>
      </c>
      <c r="H33" s="294"/>
      <c r="I33" s="295">
        <f>'★個人成績表★'!H35</f>
        <v>41</v>
      </c>
      <c r="J33" s="295" t="str">
        <f>'★個人成績表★'!E35</f>
        <v>w</v>
      </c>
      <c r="K33" s="280">
        <f t="shared" si="55"/>
        <v>3</v>
      </c>
      <c r="L33" s="278">
        <f t="shared" si="56"/>
        <v>2</v>
      </c>
      <c r="M33" s="299">
        <f t="shared" si="57"/>
        <v>493</v>
      </c>
      <c r="N33" s="299">
        <f>M33*'登録'!$I$8/'★対戦リーグ表★'!D33</f>
        <v>493</v>
      </c>
      <c r="O33" s="421">
        <f t="shared" si="58"/>
      </c>
      <c r="P33" s="415">
        <f t="shared" si="59"/>
        <v>493</v>
      </c>
      <c r="Q33" s="279">
        <f>K33*100000+N33</f>
        <v>300493</v>
      </c>
      <c r="R33" s="351">
        <f>IF(COUNTBLANK(E33:J33)=6,"",RANK(Q33,Q30:Q35))</f>
        <v>2</v>
      </c>
      <c r="S33" s="455">
        <f>IF('結果入力表'!H61="","",'結果入力表'!H61)</f>
      </c>
      <c r="T33" s="457">
        <f>IF('結果入力表'!E75="","",'結果入力表'!E75)</f>
      </c>
      <c r="U33" s="457">
        <f>IF('結果入力表'!H5="","",'結果入力表'!H5)</f>
      </c>
      <c r="V33" s="456"/>
      <c r="W33" s="457">
        <f>IF('結果入力表'!E89="","",'結果入力表'!E89)</f>
      </c>
      <c r="X33" s="458">
        <f>IF('結果入力表'!H33="","",'結果入力表'!H33)</f>
      </c>
      <c r="Y33" s="275">
        <v>47</v>
      </c>
      <c r="Z33" s="27" t="str">
        <f t="shared" si="60"/>
        <v>NRC</v>
      </c>
      <c r="AA33" s="368" t="str">
        <f>VLOOKUP(Y33,'登録'!$AE$2:$AH$55,3,FALSE)</f>
        <v>宮野 早織</v>
      </c>
      <c r="AB33" s="351">
        <f>VLOOKUP(Y33,'登録'!$AE$2:$AH$55,4,FALSE)</f>
        <v>100</v>
      </c>
      <c r="AC33" s="298">
        <f>'★個人成績表★'!K38</f>
        <v>56</v>
      </c>
      <c r="AD33" s="295">
        <f>'★個人成績表★'!L38</f>
        <v>65</v>
      </c>
      <c r="AE33" s="295">
        <f>'★個人成績表★'!I38</f>
        <v>41</v>
      </c>
      <c r="AF33" s="294"/>
      <c r="AG33" s="295">
        <f>'★個人成績表★'!M38</f>
        <v>17</v>
      </c>
      <c r="AH33" s="295">
        <f>'★個人成績表★'!J38</f>
        <v>20</v>
      </c>
      <c r="AI33" s="280">
        <f t="shared" si="61"/>
        <v>0</v>
      </c>
      <c r="AJ33" s="278">
        <f t="shared" si="62"/>
        <v>5</v>
      </c>
      <c r="AK33" s="299">
        <f t="shared" si="63"/>
        <v>199</v>
      </c>
      <c r="AL33" s="299">
        <f>AK33*'登録'!$I$8/'★対戦リーグ表★'!AB33</f>
        <v>238.8</v>
      </c>
      <c r="AM33" s="421" t="str">
        <f t="shared" si="64"/>
        <v>*</v>
      </c>
      <c r="AN33" s="415">
        <f t="shared" si="65"/>
        <v>238.8</v>
      </c>
      <c r="AO33" s="279">
        <f>AI33*100000+AL33</f>
        <v>238.8</v>
      </c>
      <c r="AP33" s="351">
        <f>IF(COUNTBLANK(AC33:AH33)=6,"",RANK(AO33,AO30:AO35))</f>
        <v>6</v>
      </c>
      <c r="AQ33" s="455">
        <f>IF('結果入力表'!H166="","",'結果入力表'!H166)</f>
      </c>
      <c r="AR33" s="457">
        <f>IF('結果入力表'!E180="","",'結果入力表'!E180)</f>
      </c>
      <c r="AS33" s="457">
        <f>IF('結果入力表'!H110="","",'結果入力表'!H110)</f>
      </c>
      <c r="AT33" s="456"/>
      <c r="AU33" s="457">
        <f>IF('結果入力表'!E194="","",'結果入力表'!E194)</f>
      </c>
      <c r="AV33" s="458">
        <f>IF('結果入力表'!H138="","",'結果入力表'!H138)</f>
      </c>
      <c r="AX33" s="361">
        <f t="shared" si="66"/>
        <v>1</v>
      </c>
      <c r="AZ33" s="361" t="str">
        <f t="shared" si="67"/>
        <v>山田 普之</v>
      </c>
      <c r="BA33" s="361" t="str">
        <f t="shared" si="32"/>
        <v>NRC</v>
      </c>
      <c r="BB33" s="364">
        <f>IF(LEFT(S33,1)="A","A",IF(LEFT(S33,1)="B","B",S33))</f>
      </c>
      <c r="BC33" s="364">
        <f>IF(LEFT(T33,1)="A","A",IF(LEFT(T33,1)="B","B",T33))</f>
      </c>
      <c r="BD33" s="364">
        <f>IF(LEFT(U33,1)="A","A",IF(LEFT(U33,1)="B","B",U33))</f>
      </c>
      <c r="BE33" s="364">
        <f>IF(LEFT(W33,1)="A","A",IF(LEFT(W33,1)="B","B",W33))</f>
      </c>
      <c r="BF33" s="364">
        <f>IF(LEFT(X33,1)="A","A",IF(LEFT(X33,1)="B","B",X33))</f>
      </c>
      <c r="BG33" s="364">
        <f>IF(LEFT(AQ9,1)="A","A",IF(LEFT(AQ9,1)="B","B",AQ9))</f>
      </c>
      <c r="BH33" s="364">
        <f>IF(LEFT(AR9,1)="A","A",IF(LEFT(AR9,1)="B","B",AR9))</f>
        <v>114</v>
      </c>
      <c r="BI33" s="364">
        <f>IF(LEFT(AS9,1)="A","A",IF(LEFT(AS9,1)="B","B",AS9))</f>
      </c>
      <c r="BJ33" s="364">
        <f>IF(LEFT(AU9,1)="A","A",IF(LEFT(AU9,1)="B","B",AU9))</f>
        <v>120</v>
      </c>
      <c r="BK33" s="364">
        <f>IF(LEFT(AV9,1)="A","A",IF(LEFT(AV9,1)="B","B",AV9))</f>
      </c>
      <c r="BL33" s="361">
        <f>IF(BM33&gt;0,"A"&amp;'登録'!$I$8,IF(BN33&gt;0,"B"&amp;'登録'!$I$8,BO33))</f>
        <v>120</v>
      </c>
      <c r="BM33" s="361">
        <f t="shared" si="68"/>
        <v>0</v>
      </c>
      <c r="BN33" s="361">
        <f t="shared" si="68"/>
        <v>0</v>
      </c>
      <c r="BO33" s="361">
        <f t="shared" si="34"/>
        <v>120</v>
      </c>
      <c r="BP33" s="361">
        <f t="shared" si="69"/>
        <v>120</v>
      </c>
      <c r="BQ33" s="361"/>
      <c r="BR33" s="361" t="str">
        <f>'★個人成績表★'!B32</f>
        <v>白戸 玲人</v>
      </c>
      <c r="BS33" s="361">
        <f aca="true" t="shared" si="70" ref="BS33:BS39">VLOOKUP(BR33,$AZ$6:$BL$59,13,FALSE)</f>
        <v>120</v>
      </c>
    </row>
    <row r="34" spans="1:71" s="274" customFormat="1" ht="15" customHeight="1">
      <c r="A34" s="275">
        <v>5</v>
      </c>
      <c r="B34" s="27" t="str">
        <f t="shared" si="54"/>
        <v>SBC</v>
      </c>
      <c r="C34" s="368" t="str">
        <f>VLOOKUP(VALUE(A34&amp;B29),'登録'!$AE$2:$AH$55,3,FALSE)</f>
        <v>山中 康寛</v>
      </c>
      <c r="D34" s="366">
        <f>VLOOKUP(VALUE(A34&amp;B29),'登録'!$AE$2:$AH$55,4,FALSE)</f>
        <v>120</v>
      </c>
      <c r="E34" s="298" t="str">
        <f>'★個人成績表★'!E44</f>
        <v>w</v>
      </c>
      <c r="F34" s="295">
        <f>'★個人成績表★'!D44</f>
        <v>0</v>
      </c>
      <c r="G34" s="295">
        <f>'★個人成績表★'!F44</f>
        <v>56</v>
      </c>
      <c r="H34" s="295" t="str">
        <f>'★個人成績表★'!H44</f>
        <v>w</v>
      </c>
      <c r="I34" s="294"/>
      <c r="J34" s="295" t="str">
        <f>'★個人成績表★'!G44</f>
        <v>w</v>
      </c>
      <c r="K34" s="281">
        <f t="shared" si="55"/>
        <v>3</v>
      </c>
      <c r="L34" s="282">
        <f t="shared" si="56"/>
        <v>2</v>
      </c>
      <c r="M34" s="283">
        <f t="shared" si="57"/>
        <v>416</v>
      </c>
      <c r="N34" s="283">
        <f>M34*'登録'!$I$8/'★対戦リーグ表★'!D34</f>
        <v>416</v>
      </c>
      <c r="O34" s="422">
        <f t="shared" si="58"/>
      </c>
      <c r="P34" s="415">
        <f t="shared" si="59"/>
        <v>416</v>
      </c>
      <c r="Q34" s="279">
        <f>K34*100000+N34</f>
        <v>300416</v>
      </c>
      <c r="R34" s="351">
        <f>IF(COUNTBLANK(E34:J34)=6,"",RANK(Q34,Q30:Q35))</f>
        <v>3</v>
      </c>
      <c r="S34" s="455">
        <f>IF('結果入力表'!H40="","",'結果入力表'!H40)</f>
      </c>
      <c r="T34" s="457">
        <f>IF('結果入力表'!H12="","",'結果入力表'!H12)</f>
      </c>
      <c r="U34" s="457">
        <f>IF('結果入力表'!E54="","",'結果入力表'!E54)</f>
      </c>
      <c r="V34" s="457">
        <f>IF('結果入力表'!H89="","",'結果入力表'!H89)</f>
      </c>
      <c r="W34" s="456"/>
      <c r="X34" s="458">
        <f>IF('結果入力表'!E68="","",'結果入力表'!E68)</f>
      </c>
      <c r="Y34" s="275">
        <v>51</v>
      </c>
      <c r="Z34" s="27" t="str">
        <f t="shared" si="60"/>
        <v>SBC</v>
      </c>
      <c r="AA34" s="368" t="str">
        <f>VLOOKUP(Y34,'登録'!$AE$2:$AH$55,3,FALSE)</f>
        <v>西峰 久祐</v>
      </c>
      <c r="AB34" s="366">
        <f>VLOOKUP(Y34,'登録'!$AE$2:$AH$55,4,FALSE)</f>
        <v>120</v>
      </c>
      <c r="AC34" s="298" t="str">
        <f>'★個人成績表★'!J41</f>
        <v>w</v>
      </c>
      <c r="AD34" s="295">
        <f>'★個人成績表★'!I41</f>
        <v>6</v>
      </c>
      <c r="AE34" s="295">
        <f>'★個人成績表★'!K41</f>
        <v>33</v>
      </c>
      <c r="AF34" s="295" t="str">
        <f>'★個人成績表★'!M41</f>
        <v>w</v>
      </c>
      <c r="AG34" s="294"/>
      <c r="AH34" s="295">
        <f>'★個人成績表★'!L41</f>
        <v>1</v>
      </c>
      <c r="AI34" s="281">
        <f t="shared" si="61"/>
        <v>2</v>
      </c>
      <c r="AJ34" s="282">
        <f t="shared" si="62"/>
        <v>3</v>
      </c>
      <c r="AK34" s="283">
        <f t="shared" si="63"/>
        <v>280</v>
      </c>
      <c r="AL34" s="283">
        <f>AK34*'登録'!$I$8/'★対戦リーグ表★'!AB34</f>
        <v>280</v>
      </c>
      <c r="AM34" s="422">
        <f t="shared" si="64"/>
      </c>
      <c r="AN34" s="415">
        <f t="shared" si="65"/>
        <v>280</v>
      </c>
      <c r="AO34" s="279">
        <f>AI34*100000+AL34</f>
        <v>200280</v>
      </c>
      <c r="AP34" s="351">
        <f>IF(COUNTBLANK(AC34:AH34)=6,"",RANK(AO34,AO30:AO35))</f>
        <v>5</v>
      </c>
      <c r="AQ34" s="455">
        <f>IF('結果入力表'!H145="","",'結果入力表'!H145)</f>
      </c>
      <c r="AR34" s="457">
        <f>IF('結果入力表'!H117="","",'結果入力表'!H117)</f>
      </c>
      <c r="AS34" s="457">
        <f>IF('結果入力表'!E159="","",'結果入力表'!E159)</f>
      </c>
      <c r="AT34" s="457">
        <f>IF('結果入力表'!H194="","",'結果入力表'!H194)</f>
      </c>
      <c r="AU34" s="456"/>
      <c r="AV34" s="458">
        <f>IF('結果入力表'!E173="","",'結果入力表'!E173)</f>
      </c>
      <c r="AX34" s="361">
        <f t="shared" si="66"/>
        <v>17</v>
      </c>
      <c r="AZ34" s="361" t="str">
        <f t="shared" si="67"/>
        <v>山中 康寛</v>
      </c>
      <c r="BA34" s="361" t="str">
        <f t="shared" si="32"/>
        <v>SBC</v>
      </c>
      <c r="BB34" s="364">
        <f>IF(LEFT(S34,1)="A","A",IF(LEFT(S34,1)="B","B",S34))</f>
      </c>
      <c r="BC34" s="364">
        <f>IF(LEFT(T34,1)="A","A",IF(LEFT(T34,1)="B","B",T34))</f>
      </c>
      <c r="BD34" s="364">
        <f>IF(LEFT(U34,1)="A","A",IF(LEFT(U34,1)="B","B",U34))</f>
      </c>
      <c r="BE34" s="364">
        <f>IF(LEFT(V34,1)="A","A",IF(LEFT(V34,1)="B","B",V34))</f>
      </c>
      <c r="BF34" s="364">
        <f>IF(LEFT(X34,1)="A","A",IF(LEFT(X34,1)="B","B",X34))</f>
      </c>
      <c r="BG34" s="364">
        <f>IF(LEFT(AQ58,1)="A","A",IF(LEFT(AQ58,1)="B","B",AQ58))</f>
      </c>
      <c r="BH34" s="364">
        <f>IF(LEFT(AR58,1)="A","A",IF(LEFT(AR58,1)="B","B",AR58))</f>
      </c>
      <c r="BI34" s="364">
        <f>IF(LEFT(AS58,1)="A","A",IF(LEFT(AS58,1)="B","B",AS58))</f>
      </c>
      <c r="BJ34" s="364">
        <f>IF(LEFT(AT58,1)="A","A",IF(LEFT(AT58,1)="B","B",AT58))</f>
      </c>
      <c r="BK34" s="364">
        <f>IF(LEFT(AV58,1)="A","A",IF(LEFT(AV58,1)="B","B",AV58))</f>
      </c>
      <c r="BL34" s="361">
        <f>IF(BM34&gt;0,"A"&amp;'登録'!$I$8,IF(BN34&gt;0,"B"&amp;'登録'!$I$8,BO34))</f>
        <v>0</v>
      </c>
      <c r="BM34" s="361">
        <f t="shared" si="68"/>
        <v>0</v>
      </c>
      <c r="BN34" s="361">
        <f t="shared" si="68"/>
        <v>0</v>
      </c>
      <c r="BO34" s="361">
        <f t="shared" si="34"/>
        <v>0</v>
      </c>
      <c r="BP34" s="361">
        <f t="shared" si="69"/>
        <v>0</v>
      </c>
      <c r="BQ34" s="361"/>
      <c r="BR34" s="361" t="str">
        <f>'★個人成績表★'!B33</f>
        <v>近藤 拓馬</v>
      </c>
      <c r="BS34" s="361">
        <f t="shared" si="70"/>
        <v>0</v>
      </c>
    </row>
    <row r="35" spans="1:71" s="274" customFormat="1" ht="15" customHeight="1" thickBot="1">
      <c r="A35" s="275">
        <v>6</v>
      </c>
      <c r="B35" s="355" t="str">
        <f t="shared" si="54"/>
        <v>WRC</v>
      </c>
      <c r="C35" s="369" t="str">
        <f>IF(B35="","",VLOOKUP(VALUE(A35&amp;B29),'登録'!$AE$2:$AH$55,3,FALSE))</f>
        <v>芝先 泰生</v>
      </c>
      <c r="D35" s="352">
        <f>IF(B35="","",VLOOKUP(VALUE(A35&amp;B29),'登録'!$AE$2:$AH$55,4,FALSE))</f>
        <v>120</v>
      </c>
      <c r="E35" s="304" t="str">
        <f>'★個人成績表★'!D53</f>
        <v>w</v>
      </c>
      <c r="F35" s="296" t="str">
        <f>'★個人成績表★'!F53</f>
        <v>w</v>
      </c>
      <c r="G35" s="296">
        <f>'★個人成績表★'!H53</f>
        <v>104</v>
      </c>
      <c r="H35" s="296">
        <f>'★個人成績表★'!E53</f>
        <v>3</v>
      </c>
      <c r="I35" s="296">
        <f>'★個人成績表★'!G53</f>
        <v>108</v>
      </c>
      <c r="J35" s="297"/>
      <c r="K35" s="284">
        <f t="shared" si="55"/>
        <v>2</v>
      </c>
      <c r="L35" s="285">
        <f t="shared" si="56"/>
        <v>3</v>
      </c>
      <c r="M35" s="293">
        <f t="shared" si="57"/>
        <v>455</v>
      </c>
      <c r="N35" s="293">
        <f>M35*'登録'!$I$8/'★対戦リーグ表★'!D35</f>
        <v>455</v>
      </c>
      <c r="O35" s="423">
        <f t="shared" si="58"/>
      </c>
      <c r="P35" s="416">
        <f t="shared" si="59"/>
        <v>455</v>
      </c>
      <c r="Q35" s="286">
        <f>IF(D35="","",K35*100000+N35)</f>
        <v>200455</v>
      </c>
      <c r="R35" s="352">
        <f>IF(COUNTBLANK(E35:J35)=6,"",RANK(Q35,Q30:Q35))</f>
        <v>4</v>
      </c>
      <c r="S35" s="459">
        <f>IF('結果入力表'!H19="","",'結果入力表'!H19)</f>
      </c>
      <c r="T35" s="460">
        <f>IF('結果入力表'!E47="","",'結果入力表'!E47)</f>
      </c>
      <c r="U35" s="460">
        <f>IF('結果入力表'!H96="","",'結果入力表'!H96)</f>
      </c>
      <c r="V35" s="460">
        <f>IF('結果入力表'!E33="","",'結果入力表'!E33)</f>
      </c>
      <c r="W35" s="460">
        <f>IF('結果入力表'!H68="","",'結果入力表'!H68)</f>
      </c>
      <c r="X35" s="461"/>
      <c r="Y35" s="275">
        <v>62</v>
      </c>
      <c r="Z35" s="355" t="str">
        <f t="shared" si="60"/>
        <v>WRC</v>
      </c>
      <c r="AA35" s="369" t="str">
        <f>IF(Z35="","",VLOOKUP(Y35,'登録'!$AE$2:$AH$55,3,FALSE))</f>
        <v>杉本 博章</v>
      </c>
      <c r="AB35" s="352">
        <f>IF(Z35="","",VLOOKUP(Y35,'登録'!$AE$2:$AH$55,4,FALSE))</f>
        <v>120</v>
      </c>
      <c r="AC35" s="304">
        <f>'★個人成績表★'!I51</f>
        <v>108</v>
      </c>
      <c r="AD35" s="296" t="str">
        <f>'★個人成績表★'!K51</f>
        <v>w</v>
      </c>
      <c r="AE35" s="296">
        <f>'★個人成績表★'!M51</f>
        <v>9</v>
      </c>
      <c r="AF35" s="296" t="str">
        <f>'★個人成績表★'!J51</f>
        <v>w</v>
      </c>
      <c r="AG35" s="296" t="str">
        <f>'★個人成績表★'!L51</f>
        <v>w</v>
      </c>
      <c r="AH35" s="297"/>
      <c r="AI35" s="284">
        <f t="shared" si="61"/>
        <v>3</v>
      </c>
      <c r="AJ35" s="285">
        <f t="shared" si="62"/>
        <v>2</v>
      </c>
      <c r="AK35" s="293">
        <f t="shared" si="63"/>
        <v>477</v>
      </c>
      <c r="AL35" s="293">
        <f>AK35*'登録'!$I$8/'★対戦リーグ表★'!AB35</f>
        <v>477</v>
      </c>
      <c r="AM35" s="423">
        <f t="shared" si="64"/>
      </c>
      <c r="AN35" s="416">
        <f t="shared" si="65"/>
        <v>477</v>
      </c>
      <c r="AO35" s="286">
        <f>IF(AB35="","",AI35*100000+AL35)</f>
        <v>300477</v>
      </c>
      <c r="AP35" s="352">
        <f>IF(COUNTBLANK(AC35:AH35)=6,"",RANK(AO35,AO30:AO35))</f>
        <v>3</v>
      </c>
      <c r="AQ35" s="459">
        <f>IF('結果入力表'!H124="","",'結果入力表'!H124)</f>
      </c>
      <c r="AR35" s="460">
        <f>IF('結果入力表'!E152="","",'結果入力表'!E152)</f>
      </c>
      <c r="AS35" s="460">
        <f>IF('結果入力表'!H201="","",'結果入力表'!H201)</f>
      </c>
      <c r="AT35" s="460">
        <f>IF('結果入力表'!E138="","",'結果入力表'!E138)</f>
      </c>
      <c r="AU35" s="460">
        <f>IF('結果入力表'!H173="","",'結果入力表'!H173)</f>
      </c>
      <c r="AV35" s="461"/>
      <c r="AX35" s="361">
        <f t="shared" si="66"/>
        <v>10</v>
      </c>
      <c r="AZ35" s="361" t="str">
        <f t="shared" si="67"/>
        <v>芝先 泰生</v>
      </c>
      <c r="BA35" s="361" t="str">
        <f t="shared" si="32"/>
        <v>WRC</v>
      </c>
      <c r="BB35" s="364">
        <f>IF(LEFT(S35,1)="A","A",IF(LEFT(S35,1)="B","B",S35))</f>
      </c>
      <c r="BC35" s="364">
        <f>IF(LEFT(T35,1)="A","A",IF(LEFT(T35,1)="B","B",T35))</f>
      </c>
      <c r="BD35" s="364">
        <f>IF(LEFT(U35,1)="A","A",IF(LEFT(U35,1)="B","B",U35))</f>
      </c>
      <c r="BE35" s="364">
        <f>IF(LEFT(V35,1)="A","A",IF(LEFT(V35,1)="B","B",V35))</f>
      </c>
      <c r="BF35" s="364">
        <f>IF(LEFT(W35,1)="A","A",IF(LEFT(W35,1)="B","B",W35))</f>
      </c>
      <c r="BG35" s="364">
        <f>IF(LEFT(AQ51,1)="A","A",IF(LEFT(AQ51,1)="B","B",AQ51))</f>
        <v>105</v>
      </c>
      <c r="BH35" s="364">
        <f>IF(LEFT(AR51,1)="A","A",IF(LEFT(AR51,1)="B","B",AR51))</f>
      </c>
      <c r="BI35" s="364">
        <f>IF(LEFT(AS51,1)="A","A",IF(LEFT(AS51,1)="B","B",AS51))</f>
      </c>
      <c r="BJ35" s="364">
        <f>IF(LEFT(AT51,1)="A","A",IF(LEFT(AT51,1)="B","B",AT51))</f>
      </c>
      <c r="BK35" s="364">
        <f>IF(LEFT(AU51,1)="A","A",IF(LEFT(AU51,1)="B","B",AU51))</f>
      </c>
      <c r="BL35" s="361">
        <f>IF(BM35&gt;0,"A"&amp;'登録'!$I$8,IF(BN35&gt;0,"B"&amp;'登録'!$I$8,BO35))</f>
        <v>105</v>
      </c>
      <c r="BM35" s="361">
        <f t="shared" si="68"/>
        <v>0</v>
      </c>
      <c r="BN35" s="361">
        <f t="shared" si="68"/>
        <v>0</v>
      </c>
      <c r="BO35" s="361">
        <f t="shared" si="34"/>
        <v>105</v>
      </c>
      <c r="BP35" s="361">
        <f t="shared" si="69"/>
        <v>105</v>
      </c>
      <c r="BQ35" s="361"/>
      <c r="BR35" s="361" t="str">
        <f>'★個人成績表★'!B34</f>
        <v>吉向 翔平</v>
      </c>
      <c r="BS35" s="361">
        <f t="shared" si="70"/>
        <v>103</v>
      </c>
    </row>
    <row r="36" spans="2:71" s="274" customFormat="1" ht="15" customHeight="1" thickBot="1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8"/>
      <c r="N36" s="288"/>
      <c r="O36" s="287"/>
      <c r="P36" s="417"/>
      <c r="Q36" s="288"/>
      <c r="R36" s="287"/>
      <c r="S36" s="462"/>
      <c r="T36" s="462"/>
      <c r="U36" s="462"/>
      <c r="V36" s="462"/>
      <c r="W36" s="462"/>
      <c r="X36" s="462"/>
      <c r="Y36" s="275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8"/>
      <c r="AL36" s="288"/>
      <c r="AM36" s="287"/>
      <c r="AN36" s="417"/>
      <c r="AO36" s="288"/>
      <c r="AP36" s="287"/>
      <c r="AQ36" s="462"/>
      <c r="AR36" s="462"/>
      <c r="AS36" s="462"/>
      <c r="AT36" s="462"/>
      <c r="AU36" s="462"/>
      <c r="AV36" s="462"/>
      <c r="AX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>
        <f>IF(BM36&gt;0,"A"&amp;'登録'!$I$8,IF(BN36&gt;0,"B"&amp;'登録'!$I$8,BO36))</f>
        <v>0</v>
      </c>
      <c r="BM36" s="361"/>
      <c r="BN36" s="361"/>
      <c r="BO36" s="361"/>
      <c r="BP36" s="361"/>
      <c r="BQ36" s="361"/>
      <c r="BR36" s="361" t="str">
        <f>'★個人成績表★'!B35</f>
        <v>山田 普之</v>
      </c>
      <c r="BS36" s="361">
        <f t="shared" si="70"/>
        <v>120</v>
      </c>
    </row>
    <row r="37" spans="2:71" s="274" customFormat="1" ht="15" customHeight="1" thickBot="1">
      <c r="B37" s="305">
        <v>5</v>
      </c>
      <c r="C37" s="300" t="s">
        <v>89</v>
      </c>
      <c r="D37" s="419" t="s">
        <v>124</v>
      </c>
      <c r="E37" s="356" t="str">
        <f>B38</f>
        <v>KRC</v>
      </c>
      <c r="F37" s="357" t="str">
        <f>B39</f>
        <v>HRC</v>
      </c>
      <c r="G37" s="357" t="str">
        <f>B40</f>
        <v>ORC</v>
      </c>
      <c r="H37" s="357" t="str">
        <f>B41</f>
        <v>NRC</v>
      </c>
      <c r="I37" s="357" t="str">
        <f>B42</f>
        <v>SBC</v>
      </c>
      <c r="J37" s="358" t="str">
        <f>B43</f>
        <v>WRC</v>
      </c>
      <c r="K37" s="347" t="s">
        <v>93</v>
      </c>
      <c r="L37" s="290" t="s">
        <v>94</v>
      </c>
      <c r="M37" s="301" t="s">
        <v>95</v>
      </c>
      <c r="N37" s="301" t="s">
        <v>99</v>
      </c>
      <c r="O37" s="410" t="s">
        <v>28</v>
      </c>
      <c r="P37" s="290"/>
      <c r="Q37" s="291" t="s">
        <v>96</v>
      </c>
      <c r="R37" s="348" t="s">
        <v>97</v>
      </c>
      <c r="S37" s="449"/>
      <c r="T37" s="450"/>
      <c r="U37" s="450"/>
      <c r="V37" s="450"/>
      <c r="W37" s="451"/>
      <c r="X37" s="451"/>
      <c r="Y37" s="275"/>
      <c r="Z37" s="305">
        <v>5</v>
      </c>
      <c r="AA37" s="300" t="s">
        <v>89</v>
      </c>
      <c r="AB37" s="419" t="s">
        <v>119</v>
      </c>
      <c r="AC37" s="356" t="str">
        <f>$B$6</f>
        <v>KRC</v>
      </c>
      <c r="AD37" s="357" t="str">
        <f>$B$7</f>
        <v>HRC</v>
      </c>
      <c r="AE37" s="357" t="str">
        <f>$B$8</f>
        <v>ORC</v>
      </c>
      <c r="AF37" s="357" t="str">
        <f>$B$9</f>
        <v>NRC</v>
      </c>
      <c r="AG37" s="357" t="str">
        <f>$B$10</f>
        <v>SBC</v>
      </c>
      <c r="AH37" s="358" t="str">
        <f>$B$11</f>
        <v>WRC</v>
      </c>
      <c r="AI37" s="347" t="s">
        <v>93</v>
      </c>
      <c r="AJ37" s="290" t="s">
        <v>94</v>
      </c>
      <c r="AK37" s="301" t="s">
        <v>95</v>
      </c>
      <c r="AL37" s="301" t="s">
        <v>99</v>
      </c>
      <c r="AM37" s="410" t="s">
        <v>28</v>
      </c>
      <c r="AN37" s="290"/>
      <c r="AO37" s="291" t="s">
        <v>96</v>
      </c>
      <c r="AP37" s="348" t="s">
        <v>97</v>
      </c>
      <c r="AQ37" s="449"/>
      <c r="AR37" s="450"/>
      <c r="AS37" s="450"/>
      <c r="AT37" s="450"/>
      <c r="AU37" s="451"/>
      <c r="AV37" s="451"/>
      <c r="AX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>
        <f>IF(BM37&gt;0,"A"&amp;'登録'!$I$8,IF(BN37&gt;0,"B"&amp;'登録'!$I$8,BO37))</f>
        <v>0</v>
      </c>
      <c r="BM37" s="361"/>
      <c r="BN37" s="361"/>
      <c r="BO37" s="361"/>
      <c r="BP37" s="361"/>
      <c r="BQ37" s="361"/>
      <c r="BR37" s="361" t="str">
        <f>'★個人成績表★'!B36</f>
        <v>山田 晃司</v>
      </c>
      <c r="BS37" s="361">
        <f t="shared" si="70"/>
        <v>102</v>
      </c>
    </row>
    <row r="38" spans="1:71" s="274" customFormat="1" ht="15" customHeight="1" thickTop="1">
      <c r="A38" s="275">
        <v>1</v>
      </c>
      <c r="B38" s="28" t="str">
        <f aca="true" t="shared" si="71" ref="B38:B43">B30</f>
        <v>KRC</v>
      </c>
      <c r="C38" s="367" t="str">
        <f>VLOOKUP(VALUE(A38&amp;B37),'登録'!$AE$2:$AH$55,3,FALSE)</f>
        <v>菊池 靖正</v>
      </c>
      <c r="D38" s="350">
        <f>VLOOKUP(VALUE(A38&amp;B37),'登録'!$AE$2:$AH$55,4,FALSE)</f>
        <v>120</v>
      </c>
      <c r="E38" s="306"/>
      <c r="F38" s="302">
        <f>'★個人成績表★'!H9</f>
        <v>20</v>
      </c>
      <c r="G38" s="302">
        <f>'★個人成績表★'!G9</f>
        <v>79</v>
      </c>
      <c r="H38" s="302" t="str">
        <f>'★個人成績表★'!F9</f>
        <v>w</v>
      </c>
      <c r="I38" s="302" t="str">
        <f>'★個人成績表★'!E9</f>
        <v>w</v>
      </c>
      <c r="J38" s="302">
        <f>'★個人成績表★'!D9</f>
        <v>0</v>
      </c>
      <c r="K38" s="349">
        <f aca="true" t="shared" si="72" ref="K38:K43">IF(COUNTBLANK(E38:J38)=6,"",COUNTIF(E38:J38,"w"))</f>
        <v>2</v>
      </c>
      <c r="L38" s="276">
        <f aca="true" t="shared" si="73" ref="L38:L43">IF(COUNTBLANK(E38:J38)=6,"",6-COUNTBLANK(E38:J38)-K38)</f>
        <v>3</v>
      </c>
      <c r="M38" s="303">
        <f aca="true" t="shared" si="74" ref="M38:M43">K38*D38+SUM(E38:J38)</f>
        <v>339</v>
      </c>
      <c r="N38" s="303">
        <f>M38*'登録'!$I$8/'★対戦リーグ表★'!D38</f>
        <v>339</v>
      </c>
      <c r="O38" s="420">
        <f aca="true" t="shared" si="75" ref="O38:O43">IF(ISERROR(N38),"",IF(M38=N38,"","*"))</f>
      </c>
      <c r="P38" s="414">
        <f aca="true" t="shared" si="76" ref="P38:P43">IF(COUNTBLANK(E38:J38)=6,"",N38)</f>
        <v>339</v>
      </c>
      <c r="Q38" s="277">
        <f>K38*100000+N38</f>
        <v>200339</v>
      </c>
      <c r="R38" s="350">
        <f>IF(COUNTBLANK(E38:J38)=6,"",RANK(Q38,Q38:Q43))</f>
        <v>5</v>
      </c>
      <c r="S38" s="452"/>
      <c r="T38" s="453">
        <f>IF('結果入力表'!E104="","",'結果入力表'!E104)</f>
      </c>
      <c r="U38" s="453">
        <f>IF('結果入力表'!E83="","",'結果入力表'!E83)</f>
      </c>
      <c r="V38" s="453">
        <f>IF('結果入力表'!E62="","",'結果入力表'!E62)</f>
      </c>
      <c r="W38" s="453">
        <f>IF('結果入力表'!E41="","",'結果入力表'!E41)</f>
      </c>
      <c r="X38" s="454">
        <f>IF('結果入力表'!E20="","",'結果入力表'!E20)</f>
      </c>
      <c r="Y38" s="275">
        <v>15</v>
      </c>
      <c r="Z38" s="28" t="str">
        <f aca="true" t="shared" si="77" ref="Z38:Z43">Z30</f>
        <v>KRC</v>
      </c>
      <c r="AA38" s="367" t="str">
        <f>VLOOKUP(Y38,'登録'!$AE$2:$AH$55,3,FALSE)</f>
        <v>菊池 靖正</v>
      </c>
      <c r="AB38" s="350">
        <f>VLOOKUP(Y38,'登録'!$AE$2:$AH$55,4,FALSE)</f>
        <v>120</v>
      </c>
      <c r="AC38" s="306"/>
      <c r="AD38" s="302" t="str">
        <f>'★個人成績表★'!M9</f>
        <v>w</v>
      </c>
      <c r="AE38" s="302">
        <f>'★個人成績表★'!L9</f>
        <v>68</v>
      </c>
      <c r="AF38" s="302">
        <f>'★個人成績表★'!K9</f>
        <v>0</v>
      </c>
      <c r="AG38" s="302" t="str">
        <f>'★個人成績表★'!J9</f>
        <v>w</v>
      </c>
      <c r="AH38" s="302">
        <f>'★個人成績表★'!I9</f>
        <v>28</v>
      </c>
      <c r="AI38" s="349">
        <f aca="true" t="shared" si="78" ref="AI38:AI43">IF(COUNTBLANK(AC38:AH38)=6,"",COUNTIF(AC38:AH38,"w"))</f>
        <v>2</v>
      </c>
      <c r="AJ38" s="276">
        <f aca="true" t="shared" si="79" ref="AJ38:AJ43">IF(COUNTBLANK(AC38:AH38)=6,"",6-COUNTBLANK(AC38:AH38)-AI38)</f>
        <v>3</v>
      </c>
      <c r="AK38" s="303">
        <f aca="true" t="shared" si="80" ref="AK38:AK43">AI38*AB38+SUM(AC38:AH38)</f>
        <v>336</v>
      </c>
      <c r="AL38" s="303">
        <f>AK38*'登録'!$I$8/'★対戦リーグ表★'!AB38</f>
        <v>336</v>
      </c>
      <c r="AM38" s="420">
        <f aca="true" t="shared" si="81" ref="AM38:AM43">IF(ISERROR(AL38),"",IF(AK38=AL38,"","*"))</f>
      </c>
      <c r="AN38" s="414">
        <f aca="true" t="shared" si="82" ref="AN38:AN43">IF(COUNTBLANK(AC38:AH38)=6,"",AL38)</f>
        <v>336</v>
      </c>
      <c r="AO38" s="277">
        <f>AI38*100000+AL38</f>
        <v>200336</v>
      </c>
      <c r="AP38" s="350">
        <f>IF(COUNTBLANK(AC38:AH38)=6,"",RANK(AO38,AO38:AO43))</f>
        <v>5</v>
      </c>
      <c r="AQ38" s="452"/>
      <c r="AR38" s="453">
        <f>IF('結果入力表'!E209="","",'結果入力表'!E209)</f>
      </c>
      <c r="AS38" s="453">
        <f>IF('結果入力表'!E188="","",'結果入力表'!E188)</f>
      </c>
      <c r="AT38" s="453">
        <f>IF('結果入力表'!E167="","",'結果入力表'!E167)</f>
      </c>
      <c r="AU38" s="453">
        <f>IF('結果入力表'!E146="","",'結果入力表'!E146)</f>
      </c>
      <c r="AV38" s="454">
        <f>IF('結果入力表'!E125="","",'結果入力表'!E125)</f>
      </c>
      <c r="AX38" s="361">
        <f aca="true" t="shared" si="83" ref="AX38:AX43">RANK(BP38,$BP$6:$BP$59)</f>
        <v>17</v>
      </c>
      <c r="AZ38" s="361" t="str">
        <f aca="true" t="shared" si="84" ref="AZ38:AZ43">C38</f>
        <v>菊池 靖正</v>
      </c>
      <c r="BA38" s="361" t="str">
        <f>B38</f>
        <v>KRC</v>
      </c>
      <c r="BB38" s="364">
        <f>IF(LEFT(T38,1)="A","A",IF(LEFT(T38,1)="B","B",T38))</f>
      </c>
      <c r="BC38" s="364">
        <f>IF(LEFT(U38,1)="A","A",IF(LEFT(U38,1)="B","B",U38))</f>
      </c>
      <c r="BD38" s="364">
        <f>IF(LEFT(V38,1)="A","A",IF(LEFT(V38,1)="B","B",V38))</f>
      </c>
      <c r="BE38" s="364">
        <f>IF(LEFT(W38,1)="A","A",IF(LEFT(W38,1)="B","B",W38))</f>
      </c>
      <c r="BF38" s="364">
        <f>IF(LEFT(X38,1)="A","A",IF(LEFT(X38,1)="B","B",X38))</f>
      </c>
      <c r="BG38" s="364">
        <f>IF(LEFT(AR38,1)="A","A",IF(LEFT(AR38,1)="B","B",AR38))</f>
      </c>
      <c r="BH38" s="364">
        <f>IF(LEFT(AS38,1)="A","A",IF(LEFT(AS38,1)="B","B",AS38))</f>
      </c>
      <c r="BI38" s="364">
        <f>IF(LEFT(AT38,1)="A","A",IF(LEFT(AT38,1)="B","B",AT38))</f>
      </c>
      <c r="BJ38" s="364">
        <f>IF(LEFT(AU38,1)="A","A",IF(LEFT(AU38,1)="B","B",AU38))</f>
      </c>
      <c r="BK38" s="364">
        <f>IF(LEFT(AV38,1)="A","A",IF(LEFT(AV38,1)="B","B",AV38))</f>
      </c>
      <c r="BL38" s="361">
        <f>IF(BM38&gt;0,"A"&amp;'登録'!$I$8,IF(BN38&gt;0,"B"&amp;'登録'!$I$8,BO38))</f>
        <v>0</v>
      </c>
      <c r="BM38" s="361">
        <f aca="true" t="shared" si="85" ref="BM38:BN43">COUNTIF($BB38:$BK38,BM$5)</f>
        <v>0</v>
      </c>
      <c r="BN38" s="361">
        <f t="shared" si="85"/>
        <v>0</v>
      </c>
      <c r="BO38" s="361">
        <f>MAX(BB38:BK38)</f>
        <v>0</v>
      </c>
      <c r="BP38" s="361">
        <f aca="true" t="shared" si="86" ref="BP38:BP43">BM38*10000+BN38*1000+BO38</f>
        <v>0</v>
      </c>
      <c r="BQ38" s="361"/>
      <c r="BR38" s="361" t="str">
        <f>'★個人成績表★'!B37</f>
        <v>長谷川 進</v>
      </c>
      <c r="BS38" s="361">
        <f t="shared" si="70"/>
        <v>0</v>
      </c>
    </row>
    <row r="39" spans="1:71" s="274" customFormat="1" ht="15" customHeight="1">
      <c r="A39" s="275">
        <v>2</v>
      </c>
      <c r="B39" s="27" t="str">
        <f t="shared" si="71"/>
        <v>HRC</v>
      </c>
      <c r="C39" s="368" t="str">
        <f>VLOOKUP(VALUE(A39&amp;B37),'登録'!$AE$2:$AH$55,3,FALSE)</f>
        <v>丹羽 俊也</v>
      </c>
      <c r="D39" s="351">
        <f>VLOOKUP(VALUE(A39&amp;B37),'登録'!$AE$2:$AH$55,4,FALSE)</f>
        <v>120</v>
      </c>
      <c r="E39" s="298" t="str">
        <f>'★個人成績表★'!H18</f>
        <v>w</v>
      </c>
      <c r="F39" s="294"/>
      <c r="G39" s="295">
        <f>'★個人成績表★'!E18</f>
        <v>14</v>
      </c>
      <c r="H39" s="295">
        <f>'★個人成績表★'!G18</f>
        <v>52</v>
      </c>
      <c r="I39" s="295">
        <f>'★個人成績表★'!D18</f>
        <v>84</v>
      </c>
      <c r="J39" s="295" t="str">
        <f>'★個人成績表★'!F18</f>
        <v>w</v>
      </c>
      <c r="K39" s="280">
        <f t="shared" si="72"/>
        <v>2</v>
      </c>
      <c r="L39" s="278">
        <f t="shared" si="73"/>
        <v>3</v>
      </c>
      <c r="M39" s="299">
        <f t="shared" si="74"/>
        <v>390</v>
      </c>
      <c r="N39" s="299">
        <f>M39*'登録'!$I$8/'★対戦リーグ表★'!D39</f>
        <v>390</v>
      </c>
      <c r="O39" s="421">
        <f t="shared" si="75"/>
      </c>
      <c r="P39" s="415">
        <f t="shared" si="76"/>
        <v>390</v>
      </c>
      <c r="Q39" s="279">
        <f>K39*100000+N39</f>
        <v>200390</v>
      </c>
      <c r="R39" s="351">
        <f>IF(COUNTBLANK(E39:J39)=6,"",RANK(Q39,Q38:Q43))</f>
        <v>4</v>
      </c>
      <c r="S39" s="455">
        <f>IF('結果入力表'!H104="","",'結果入力表'!H104)</f>
      </c>
      <c r="T39" s="456"/>
      <c r="U39" s="457">
        <f>IF('結果入力表'!E27="","",'結果入力表'!E27)</f>
      </c>
      <c r="V39" s="457">
        <f>IF('結果入力表'!H76="","",'結果入力表'!H76)</f>
      </c>
      <c r="W39" s="457">
        <f>IF('結果入力表'!E13="","",'結果入力表'!E13)</f>
      </c>
      <c r="X39" s="458">
        <f>IF('結果入力表'!H48="","",'結果入力表'!H48)</f>
      </c>
      <c r="Y39" s="289">
        <v>26</v>
      </c>
      <c r="Z39" s="27" t="str">
        <f t="shared" si="77"/>
        <v>HRC</v>
      </c>
      <c r="AA39" s="368" t="str">
        <f>VLOOKUP(Y39,'登録'!$AE$2:$AH$55,3,FALSE)</f>
        <v>平井 洸志</v>
      </c>
      <c r="AB39" s="351">
        <f>VLOOKUP(Y39,'登録'!$AE$2:$AH$55,4,FALSE)</f>
        <v>120</v>
      </c>
      <c r="AC39" s="298">
        <f>'★個人成績表★'!M19</f>
        <v>30</v>
      </c>
      <c r="AD39" s="294"/>
      <c r="AE39" s="295">
        <f>'★個人成績表★'!J19</f>
        <v>69</v>
      </c>
      <c r="AF39" s="295" t="str">
        <f>'★個人成績表★'!L19</f>
        <v>w</v>
      </c>
      <c r="AG39" s="295">
        <f>'★個人成績表★'!I19</f>
        <v>107</v>
      </c>
      <c r="AH39" s="295">
        <f>'★個人成績表★'!K19</f>
        <v>86</v>
      </c>
      <c r="AI39" s="280">
        <f t="shared" si="78"/>
        <v>1</v>
      </c>
      <c r="AJ39" s="278">
        <f t="shared" si="79"/>
        <v>4</v>
      </c>
      <c r="AK39" s="299">
        <f t="shared" si="80"/>
        <v>412</v>
      </c>
      <c r="AL39" s="299">
        <f>AK39*'登録'!$I$8/'★対戦リーグ表★'!AB39</f>
        <v>412</v>
      </c>
      <c r="AM39" s="421">
        <f t="shared" si="81"/>
      </c>
      <c r="AN39" s="415">
        <f t="shared" si="82"/>
        <v>412</v>
      </c>
      <c r="AO39" s="279">
        <f>AI39*100000+AL39</f>
        <v>100412</v>
      </c>
      <c r="AP39" s="351">
        <f>IF(COUNTBLANK(AC39:AH39)=6,"",RANK(AO39,AO38:AO43))</f>
        <v>6</v>
      </c>
      <c r="AQ39" s="455">
        <f>IF('結果入力表'!H209="","",'結果入力表'!H209)</f>
      </c>
      <c r="AR39" s="456"/>
      <c r="AS39" s="457">
        <f>IF('結果入力表'!E132="","",'結果入力表'!E132)</f>
      </c>
      <c r="AT39" s="457">
        <f>IF('結果入力表'!H181="","",'結果入力表'!H181)</f>
      </c>
      <c r="AU39" s="457">
        <f>IF('結果入力表'!E118="","",'結果入力表'!E118)</f>
      </c>
      <c r="AV39" s="458">
        <f>IF('結果入力表'!H153="","",'結果入力表'!H153)</f>
      </c>
      <c r="AX39" s="361">
        <f t="shared" si="83"/>
        <v>17</v>
      </c>
      <c r="AZ39" s="361" t="str">
        <f t="shared" si="84"/>
        <v>丹羽 俊也</v>
      </c>
      <c r="BA39" s="361" t="str">
        <f t="shared" si="32"/>
        <v>HRC</v>
      </c>
      <c r="BB39" s="364">
        <f>IF(LEFT(S39,1)="A","A",IF(LEFT(S39,1)="B","B",S39))</f>
      </c>
      <c r="BC39" s="364">
        <f>IF(LEFT(U39,1)="A","A",IF(LEFT(U39,1)="B","B",U39))</f>
      </c>
      <c r="BD39" s="364">
        <f>IF(LEFT(V39,1)="A","A",IF(LEFT(V39,1)="B","B",V39))</f>
      </c>
      <c r="BE39" s="364">
        <f>IF(LEFT(W39,1)="A","A",IF(LEFT(W39,1)="B","B",W39))</f>
      </c>
      <c r="BF39" s="364">
        <f>IF(LEFT(X39,1)="A","A",IF(LEFT(X39,1)="B","B",X39))</f>
      </c>
      <c r="BG39" s="364">
        <f>IF(LEFT(AQ31,1)="A","A",IF(LEFT(AQ31,1)="B","B",AQ31))</f>
      </c>
      <c r="BH39" s="364">
        <f>IF(LEFT(AS31,1)="A","A",IF(LEFT(AS31,1)="B","B",AS31))</f>
      </c>
      <c r="BI39" s="364">
        <f>IF(LEFT(AT31,1)="A","A",IF(LEFT(AT31,1)="B","B",AT31))</f>
      </c>
      <c r="BJ39" s="364">
        <f>IF(LEFT(AU31,1)="A","A",IF(LEFT(AU31,1)="B","B",AU31))</f>
      </c>
      <c r="BK39" s="364">
        <f>IF(LEFT(AV31,1)="A","A",IF(LEFT(AV31,1)="B","B",AV31))</f>
      </c>
      <c r="BL39" s="361">
        <f>IF(BM39&gt;0,"A"&amp;'登録'!$I$8,IF(BN39&gt;0,"B"&amp;'登録'!$I$8,BO39))</f>
        <v>0</v>
      </c>
      <c r="BM39" s="361">
        <f t="shared" si="85"/>
        <v>0</v>
      </c>
      <c r="BN39" s="361">
        <f t="shared" si="85"/>
        <v>0</v>
      </c>
      <c r="BO39" s="361">
        <f t="shared" si="34"/>
        <v>0</v>
      </c>
      <c r="BP39" s="361">
        <f t="shared" si="86"/>
        <v>0</v>
      </c>
      <c r="BQ39" s="361"/>
      <c r="BR39" s="361" t="str">
        <f>'★個人成績表★'!B38</f>
        <v>宮野 早織</v>
      </c>
      <c r="BS39" s="361">
        <f t="shared" si="70"/>
        <v>0</v>
      </c>
    </row>
    <row r="40" spans="1:70" s="274" customFormat="1" ht="15" customHeight="1">
      <c r="A40" s="275">
        <v>3</v>
      </c>
      <c r="B40" s="27" t="str">
        <f t="shared" si="71"/>
        <v>ORC</v>
      </c>
      <c r="C40" s="368" t="str">
        <f>VLOOKUP(VALUE(A40&amp;B37),'登録'!$AE$2:$AH$55,3,FALSE)</f>
        <v>由本　拓</v>
      </c>
      <c r="D40" s="351">
        <f>VLOOKUP(VALUE(A40&amp;B37),'登録'!$AE$2:$AH$55,4,FALSE)</f>
        <v>120</v>
      </c>
      <c r="E40" s="298" t="str">
        <f>'★個人成績表★'!G27</f>
        <v>w</v>
      </c>
      <c r="F40" s="295" t="str">
        <f>'★個人成績表★'!E27</f>
        <v>w</v>
      </c>
      <c r="G40" s="294"/>
      <c r="H40" s="295">
        <f>'★個人成績表★'!D27</f>
        <v>8</v>
      </c>
      <c r="I40" s="295" t="str">
        <f>'★個人成績表★'!F27</f>
        <v>w</v>
      </c>
      <c r="J40" s="295" t="str">
        <f>'★個人成績表★'!H27</f>
        <v>w</v>
      </c>
      <c r="K40" s="280">
        <f t="shared" si="72"/>
        <v>4</v>
      </c>
      <c r="L40" s="278">
        <f t="shared" si="73"/>
        <v>1</v>
      </c>
      <c r="M40" s="299">
        <f t="shared" si="74"/>
        <v>488</v>
      </c>
      <c r="N40" s="299">
        <f>M40*'登録'!$I$8/'★対戦リーグ表★'!D40</f>
        <v>488</v>
      </c>
      <c r="O40" s="421">
        <f t="shared" si="75"/>
      </c>
      <c r="P40" s="415">
        <f t="shared" si="76"/>
        <v>488</v>
      </c>
      <c r="Q40" s="279">
        <f>K40*100000+N40</f>
        <v>400488</v>
      </c>
      <c r="R40" s="351">
        <f>IF(COUNTBLANK(E40:J40)=6,"",RANK(Q40,Q38:Q43))</f>
        <v>1</v>
      </c>
      <c r="S40" s="455">
        <f>IF('結果入力表'!H83="","",'結果入力表'!H83)</f>
      </c>
      <c r="T40" s="457">
        <f>IF('結果入力表'!H27="","",'結果入力表'!H27)</f>
      </c>
      <c r="U40" s="456"/>
      <c r="V40" s="457">
        <f>IF('結果入力表'!E6="","",'結果入力表'!E6)</f>
      </c>
      <c r="W40" s="457">
        <f>IF('結果入力表'!H55="","",'結果入力表'!H55)</f>
      </c>
      <c r="X40" s="458">
        <f>IF('結果入力表'!E97="","",'結果入力表'!E97)</f>
      </c>
      <c r="Y40" s="289">
        <v>37</v>
      </c>
      <c r="Z40" s="27" t="str">
        <f t="shared" si="77"/>
        <v>ORC</v>
      </c>
      <c r="AA40" s="368" t="str">
        <f>VLOOKUP(Y40,'登録'!$AE$2:$AH$55,3,FALSE)</f>
        <v>西田 恵子</v>
      </c>
      <c r="AB40" s="351">
        <f>VLOOKUP(Y40,'登録'!$AE$2:$AH$55,4,FALSE)</f>
        <v>100</v>
      </c>
      <c r="AC40" s="298" t="str">
        <f>'★個人成績表★'!L29</f>
        <v>w</v>
      </c>
      <c r="AD40" s="295" t="str">
        <f>'★個人成績表★'!J29</f>
        <v>w</v>
      </c>
      <c r="AE40" s="294"/>
      <c r="AF40" s="295">
        <f>'★個人成績表★'!I29</f>
        <v>22</v>
      </c>
      <c r="AG40" s="295" t="str">
        <f>'★個人成績表★'!K29</f>
        <v>w</v>
      </c>
      <c r="AH40" s="295">
        <f>'★個人成績表★'!M29</f>
        <v>24</v>
      </c>
      <c r="AI40" s="280">
        <f t="shared" si="78"/>
        <v>3</v>
      </c>
      <c r="AJ40" s="278">
        <f t="shared" si="79"/>
        <v>2</v>
      </c>
      <c r="AK40" s="299">
        <f t="shared" si="80"/>
        <v>346</v>
      </c>
      <c r="AL40" s="299">
        <f>AK40*'登録'!$I$8/'★対戦リーグ表★'!AB40</f>
        <v>415.2</v>
      </c>
      <c r="AM40" s="421" t="str">
        <f t="shared" si="81"/>
        <v>*</v>
      </c>
      <c r="AN40" s="415">
        <f t="shared" si="82"/>
        <v>415.2</v>
      </c>
      <c r="AO40" s="279">
        <f>AI40*100000+AL40</f>
        <v>300415.2</v>
      </c>
      <c r="AP40" s="351">
        <f>IF(COUNTBLANK(AC40:AH40)=6,"",RANK(AO40,AO38:AO43))</f>
        <v>3</v>
      </c>
      <c r="AQ40" s="455">
        <f>IF('結果入力表'!H188="","",'結果入力表'!H188)</f>
      </c>
      <c r="AR40" s="457">
        <f>IF('結果入力表'!H132="","",'結果入力表'!H132)</f>
      </c>
      <c r="AS40" s="456"/>
      <c r="AT40" s="457">
        <f>IF('結果入力表'!E111="","",'結果入力表'!E111)</f>
      </c>
      <c r="AU40" s="457">
        <f>IF('結果入力表'!H160="","",'結果入力表'!H160)</f>
      </c>
      <c r="AV40" s="458">
        <f>IF('結果入力表'!E202="","",'結果入力表'!E202)</f>
      </c>
      <c r="AX40" s="361">
        <f t="shared" si="83"/>
        <v>17</v>
      </c>
      <c r="AZ40" s="361" t="str">
        <f t="shared" si="84"/>
        <v>由本　拓</v>
      </c>
      <c r="BA40" s="361" t="str">
        <f t="shared" si="32"/>
        <v>ORC</v>
      </c>
      <c r="BB40" s="364">
        <f>IF(LEFT(S40,1)="A","A",IF(LEFT(S40,1)="B","B",S40))</f>
      </c>
      <c r="BC40" s="364">
        <f>IF(LEFT(T40,1)="A","A",IF(LEFT(T40,1)="B","B",T40))</f>
      </c>
      <c r="BD40" s="364">
        <f>IF(LEFT(V40,1)="A","A",IF(LEFT(V40,1)="B","B",V40))</f>
      </c>
      <c r="BE40" s="364">
        <f>IF(LEFT(W40,1)="A","A",IF(LEFT(W40,1)="B","B",W40))</f>
      </c>
      <c r="BF40" s="364">
        <f>IF(LEFT(X40,1)="A","A",IF(LEFT(X40,1)="B","B",X40))</f>
      </c>
      <c r="BG40" s="364">
        <f>IF(LEFT(AQ24,1)="A","A",IF(LEFT(AQ24,1)="B","B",AQ24))</f>
      </c>
      <c r="BH40" s="364">
        <f>IF(LEFT(AR24,1)="A","A",IF(LEFT(AR24,1)="B","B",AR24))</f>
      </c>
      <c r="BI40" s="364">
        <f>IF(LEFT(AT24,1)="A","A",IF(LEFT(AT24,1)="B","B",AT24))</f>
      </c>
      <c r="BJ40" s="364">
        <f>IF(LEFT(AU24,1)="A","A",IF(LEFT(AU24,1)="B","B",AU24))</f>
      </c>
      <c r="BK40" s="364">
        <f>IF(LEFT(AV24,1)="A","A",IF(LEFT(AV24,1)="B","B",AV24))</f>
      </c>
      <c r="BL40" s="361">
        <f>IF(BM40&gt;0,"A"&amp;'登録'!$I$8,IF(BN40&gt;0,"B"&amp;'登録'!$I$8,BO40))</f>
        <v>0</v>
      </c>
      <c r="BM40" s="361">
        <f t="shared" si="85"/>
        <v>0</v>
      </c>
      <c r="BN40" s="361">
        <f t="shared" si="85"/>
        <v>0</v>
      </c>
      <c r="BO40" s="361">
        <f t="shared" si="34"/>
        <v>0</v>
      </c>
      <c r="BP40" s="361">
        <f t="shared" si="86"/>
        <v>0</v>
      </c>
      <c r="BQ40" s="361"/>
      <c r="BR40" s="361"/>
    </row>
    <row r="41" spans="1:70" s="274" customFormat="1" ht="15" customHeight="1">
      <c r="A41" s="275">
        <v>4</v>
      </c>
      <c r="B41" s="27" t="str">
        <f t="shared" si="71"/>
        <v>NRC</v>
      </c>
      <c r="C41" s="368" t="str">
        <f>VLOOKUP(VALUE(A41&amp;B37),'登録'!$AE$2:$AH$55,3,FALSE)</f>
        <v>山田 晃司</v>
      </c>
      <c r="D41" s="351">
        <f>VLOOKUP(VALUE(A41&amp;B37),'登録'!$AE$2:$AH$55,4,FALSE)</f>
        <v>120</v>
      </c>
      <c r="E41" s="298">
        <f>'★個人成績表★'!F36</f>
        <v>43</v>
      </c>
      <c r="F41" s="295" t="str">
        <f>'★個人成績表★'!G36</f>
        <v>w</v>
      </c>
      <c r="G41" s="295" t="str">
        <f>'★個人成績表★'!D36</f>
        <v>w</v>
      </c>
      <c r="H41" s="294"/>
      <c r="I41" s="295" t="str">
        <f>'★個人成績表★'!H36</f>
        <v>w</v>
      </c>
      <c r="J41" s="295">
        <f>'★個人成績表★'!E36</f>
        <v>26</v>
      </c>
      <c r="K41" s="280">
        <f t="shared" si="72"/>
        <v>3</v>
      </c>
      <c r="L41" s="278">
        <f t="shared" si="73"/>
        <v>2</v>
      </c>
      <c r="M41" s="299">
        <f t="shared" si="74"/>
        <v>429</v>
      </c>
      <c r="N41" s="299">
        <f>M41*'登録'!$I$8/'★対戦リーグ表★'!D41</f>
        <v>429</v>
      </c>
      <c r="O41" s="421">
        <f t="shared" si="75"/>
      </c>
      <c r="P41" s="415">
        <f t="shared" si="76"/>
        <v>429</v>
      </c>
      <c r="Q41" s="279">
        <f>K41*100000+N41</f>
        <v>300429</v>
      </c>
      <c r="R41" s="351">
        <f>IF(COUNTBLANK(E41:J41)=6,"",RANK(Q41,Q38:Q43))</f>
        <v>3</v>
      </c>
      <c r="S41" s="455">
        <f>IF('結果入力表'!H62="","",'結果入力表'!H62)</f>
      </c>
      <c r="T41" s="457">
        <f>IF('結果入力表'!E76="","",'結果入力表'!E76)</f>
      </c>
      <c r="U41" s="457">
        <f>IF('結果入力表'!H6="","",'結果入力表'!H6)</f>
        <v>102</v>
      </c>
      <c r="V41" s="456"/>
      <c r="W41" s="457">
        <f>IF('結果入力表'!E90="","",'結果入力表'!E90)</f>
      </c>
      <c r="X41" s="458">
        <f>IF('結果入力表'!H34="","",'結果入力表'!H34)</f>
      </c>
      <c r="Y41" s="289">
        <v>41</v>
      </c>
      <c r="Z41" s="27" t="str">
        <f t="shared" si="77"/>
        <v>NRC</v>
      </c>
      <c r="AA41" s="368" t="str">
        <f>VLOOKUP(Y41,'登録'!$AE$2:$AH$55,3,FALSE)</f>
        <v>白戸 玲人</v>
      </c>
      <c r="AB41" s="351">
        <f>VLOOKUP(Y41,'登録'!$AE$2:$AH$55,4,FALSE)</f>
        <v>120</v>
      </c>
      <c r="AC41" s="298" t="str">
        <f>'★個人成績表★'!K32</f>
        <v>w</v>
      </c>
      <c r="AD41" s="295">
        <f>'★個人成績表★'!L32</f>
        <v>52</v>
      </c>
      <c r="AE41" s="295" t="str">
        <f>'★個人成績表★'!I32</f>
        <v>w</v>
      </c>
      <c r="AF41" s="294"/>
      <c r="AG41" s="295" t="str">
        <f>'★個人成績表★'!M32</f>
        <v>w</v>
      </c>
      <c r="AH41" s="295">
        <f>'★個人成績表★'!J32</f>
        <v>78</v>
      </c>
      <c r="AI41" s="280">
        <f t="shared" si="78"/>
        <v>3</v>
      </c>
      <c r="AJ41" s="278">
        <f t="shared" si="79"/>
        <v>2</v>
      </c>
      <c r="AK41" s="299">
        <f t="shared" si="80"/>
        <v>490</v>
      </c>
      <c r="AL41" s="299">
        <f>AK41*'登録'!$I$8/'★対戦リーグ表★'!AB41</f>
        <v>490</v>
      </c>
      <c r="AM41" s="421">
        <f t="shared" si="81"/>
      </c>
      <c r="AN41" s="415">
        <f t="shared" si="82"/>
        <v>490</v>
      </c>
      <c r="AO41" s="279">
        <f>AI41*100000+AL41</f>
        <v>300490</v>
      </c>
      <c r="AP41" s="351">
        <f>IF(COUNTBLANK(AC41:AH41)=6,"",RANK(AO41,AO38:AO43))</f>
        <v>2</v>
      </c>
      <c r="AQ41" s="455">
        <f>IF('結果入力表'!H167="","",'結果入力表'!H167)</f>
        <v>120</v>
      </c>
      <c r="AR41" s="457">
        <f>IF('結果入力表'!E181="","",'結果入力表'!E181)</f>
      </c>
      <c r="AS41" s="457">
        <f>IF('結果入力表'!H111="","",'結果入力表'!H111)</f>
      </c>
      <c r="AT41" s="456"/>
      <c r="AU41" s="457">
        <f>IF('結果入力表'!E195="","",'結果入力表'!E195)</f>
      </c>
      <c r="AV41" s="458">
        <f>IF('結果入力表'!H139="","",'結果入力表'!H139)</f>
      </c>
      <c r="AX41" s="361">
        <f t="shared" si="83"/>
        <v>14</v>
      </c>
      <c r="AZ41" s="361" t="str">
        <f t="shared" si="84"/>
        <v>山田 晃司</v>
      </c>
      <c r="BA41" s="361" t="str">
        <f t="shared" si="32"/>
        <v>NRC</v>
      </c>
      <c r="BB41" s="364">
        <f>IF(LEFT(S41,1)="A","A",IF(LEFT(S41,1)="B","B",S41))</f>
      </c>
      <c r="BC41" s="364">
        <f>IF(LEFT(T41,1)="A","A",IF(LEFT(T41,1)="B","B",T41))</f>
      </c>
      <c r="BD41" s="364">
        <f>IF(LEFT(U41,1)="A","A",IF(LEFT(U41,1)="B","B",U41))</f>
        <v>102</v>
      </c>
      <c r="BE41" s="364">
        <f>IF(LEFT(W41,1)="A","A",IF(LEFT(W41,1)="B","B",W41))</f>
      </c>
      <c r="BF41" s="364">
        <f>IF(LEFT(X41,1)="A","A",IF(LEFT(X41,1)="B","B",X41))</f>
      </c>
      <c r="BG41" s="364">
        <f>IF(LEFT(AQ17,1)="A","A",IF(LEFT(AQ17,1)="B","B",AQ17))</f>
      </c>
      <c r="BH41" s="364">
        <f>IF(LEFT(AR17,1)="A","A",IF(LEFT(AR17,1)="B","B",AR17))</f>
      </c>
      <c r="BI41" s="364">
        <f>IF(LEFT(AS17,1)="A","A",IF(LEFT(AS17,1)="B","B",AS17))</f>
      </c>
      <c r="BJ41" s="364">
        <f>IF(LEFT(AU17,1)="A","A",IF(LEFT(AU17,1)="B","B",AU17))</f>
      </c>
      <c r="BK41" s="364">
        <f>IF(LEFT(AV17,1)="A","A",IF(LEFT(AV17,1)="B","B",AV17))</f>
      </c>
      <c r="BL41" s="361">
        <f>IF(BM41&gt;0,"A"&amp;'登録'!$I$8,IF(BN41&gt;0,"B"&amp;'登録'!$I$8,BO41))</f>
        <v>102</v>
      </c>
      <c r="BM41" s="361">
        <f t="shared" si="85"/>
        <v>0</v>
      </c>
      <c r="BN41" s="361">
        <f t="shared" si="85"/>
        <v>0</v>
      </c>
      <c r="BO41" s="361">
        <f t="shared" si="34"/>
        <v>102</v>
      </c>
      <c r="BP41" s="361">
        <f t="shared" si="86"/>
        <v>102</v>
      </c>
      <c r="BQ41" s="361"/>
      <c r="BR41" s="361"/>
    </row>
    <row r="42" spans="1:71" s="274" customFormat="1" ht="15" customHeight="1">
      <c r="A42" s="275">
        <v>5</v>
      </c>
      <c r="B42" s="27" t="str">
        <f t="shared" si="71"/>
        <v>SBC</v>
      </c>
      <c r="C42" s="368" t="str">
        <f>VLOOKUP(VALUE(A42&amp;B37),'登録'!$AE$2:$AH$55,3,FALSE)</f>
        <v>高島 太一</v>
      </c>
      <c r="D42" s="366">
        <f>VLOOKUP(VALUE(A42&amp;B37),'登録'!$AE$2:$AH$55,4,FALSE)</f>
        <v>120</v>
      </c>
      <c r="E42" s="298">
        <f>'★個人成績表★'!E45</f>
        <v>96</v>
      </c>
      <c r="F42" s="295" t="str">
        <f>'★個人成績表★'!D45</f>
        <v>w</v>
      </c>
      <c r="G42" s="295">
        <f>'★個人成績表★'!F45</f>
        <v>81</v>
      </c>
      <c r="H42" s="295">
        <f>'★個人成績表★'!H45</f>
        <v>25</v>
      </c>
      <c r="I42" s="294"/>
      <c r="J42" s="295">
        <f>'★個人成績表★'!G45</f>
        <v>95</v>
      </c>
      <c r="K42" s="281">
        <f t="shared" si="72"/>
        <v>1</v>
      </c>
      <c r="L42" s="282">
        <f t="shared" si="73"/>
        <v>4</v>
      </c>
      <c r="M42" s="283">
        <f t="shared" si="74"/>
        <v>417</v>
      </c>
      <c r="N42" s="283">
        <f>M42*'登録'!$I$8/'★対戦リーグ表★'!D42</f>
        <v>417</v>
      </c>
      <c r="O42" s="422">
        <f t="shared" si="75"/>
      </c>
      <c r="P42" s="415">
        <f t="shared" si="76"/>
        <v>417</v>
      </c>
      <c r="Q42" s="279">
        <f>K42*100000+N42</f>
        <v>100417</v>
      </c>
      <c r="R42" s="351">
        <f>IF(COUNTBLANK(E42:J42)=6,"",RANK(Q42,Q38:Q43))</f>
        <v>6</v>
      </c>
      <c r="S42" s="455">
        <f>IF('結果入力表'!H41="","",'結果入力表'!H41)</f>
      </c>
      <c r="T42" s="457">
        <f>IF('結果入力表'!H13="","",'結果入力表'!H13)</f>
      </c>
      <c r="U42" s="457">
        <f>IF('結果入力表'!E55="","",'結果入力表'!E55)</f>
      </c>
      <c r="V42" s="457">
        <f>IF('結果入力表'!H90="","",'結果入力表'!H90)</f>
      </c>
      <c r="W42" s="456"/>
      <c r="X42" s="458">
        <f>IF('結果入力表'!E69="","",'結果入力表'!E69)</f>
      </c>
      <c r="Y42" s="289">
        <v>52</v>
      </c>
      <c r="Z42" s="27" t="str">
        <f t="shared" si="77"/>
        <v>SBC</v>
      </c>
      <c r="AA42" s="368" t="str">
        <f>VLOOKUP(Y42,'登録'!$AE$2:$AH$55,3,FALSE)</f>
        <v>長田 智紀</v>
      </c>
      <c r="AB42" s="366">
        <f>VLOOKUP(Y42,'登録'!$AE$2:$AH$55,4,FALSE)</f>
        <v>120</v>
      </c>
      <c r="AC42" s="298">
        <f>'★個人成績表★'!J42</f>
        <v>62</v>
      </c>
      <c r="AD42" s="295" t="str">
        <f>'★個人成績表★'!I42</f>
        <v>w</v>
      </c>
      <c r="AE42" s="295">
        <f>'★個人成績表★'!K42</f>
        <v>39</v>
      </c>
      <c r="AF42" s="295">
        <f>'★個人成績表★'!M42</f>
        <v>33</v>
      </c>
      <c r="AG42" s="294"/>
      <c r="AH42" s="295" t="str">
        <f>'★個人成績表★'!L42</f>
        <v>w</v>
      </c>
      <c r="AI42" s="281">
        <f t="shared" si="78"/>
        <v>2</v>
      </c>
      <c r="AJ42" s="282">
        <f t="shared" si="79"/>
        <v>3</v>
      </c>
      <c r="AK42" s="283">
        <f t="shared" si="80"/>
        <v>374</v>
      </c>
      <c r="AL42" s="283">
        <f>AK42*'登録'!$I$8/'★対戦リーグ表★'!AB42</f>
        <v>374</v>
      </c>
      <c r="AM42" s="422">
        <f t="shared" si="81"/>
      </c>
      <c r="AN42" s="415">
        <f t="shared" si="82"/>
        <v>374</v>
      </c>
      <c r="AO42" s="279">
        <f>AI42*100000+AL42</f>
        <v>200374</v>
      </c>
      <c r="AP42" s="351">
        <f>IF(COUNTBLANK(AC42:AH42)=6,"",RANK(AO42,AO38:AO43))</f>
        <v>4</v>
      </c>
      <c r="AQ42" s="455">
        <f>IF('結果入力表'!H146="","",'結果入力表'!H146)</f>
      </c>
      <c r="AR42" s="457">
        <f>IF('結果入力表'!H118="","",'結果入力表'!H118)</f>
      </c>
      <c r="AS42" s="457">
        <f>IF('結果入力表'!E160="","",'結果入力表'!E160)</f>
      </c>
      <c r="AT42" s="457">
        <f>IF('結果入力表'!H195="","",'結果入力表'!H195)</f>
      </c>
      <c r="AU42" s="456"/>
      <c r="AV42" s="458">
        <f>IF('結果入力表'!E174="","",'結果入力表'!E174)</f>
      </c>
      <c r="AX42" s="361">
        <f t="shared" si="83"/>
        <v>17</v>
      </c>
      <c r="AZ42" s="361" t="str">
        <f t="shared" si="84"/>
        <v>高島 太一</v>
      </c>
      <c r="BA42" s="361" t="str">
        <f t="shared" si="32"/>
        <v>SBC</v>
      </c>
      <c r="BB42" s="364">
        <f>IF(LEFT(S42,1)="A","A",IF(LEFT(S42,1)="B","B",S42))</f>
      </c>
      <c r="BC42" s="364">
        <f>IF(LEFT(T42,1)="A","A",IF(LEFT(T42,1)="B","B",T42))</f>
      </c>
      <c r="BD42" s="364">
        <f>IF(LEFT(U42,1)="A","A",IF(LEFT(U42,1)="B","B",U42))</f>
      </c>
      <c r="BE42" s="364">
        <f>IF(LEFT(V42,1)="A","A",IF(LEFT(V42,1)="B","B",V42))</f>
      </c>
      <c r="BF42" s="364">
        <f>IF(LEFT(X42,1)="A","A",IF(LEFT(X42,1)="B","B",X42))</f>
      </c>
      <c r="BG42" s="364">
        <f>IF(LEFT(AQ10,1)="A","A",IF(LEFT(AQ10,1)="B","B",AQ10))</f>
      </c>
      <c r="BH42" s="364">
        <f>IF(LEFT(AR10,1)="A","A",IF(LEFT(AR10,1)="B","B",AR10))</f>
      </c>
      <c r="BI42" s="364">
        <f>IF(LEFT(AS10,1)="A","A",IF(LEFT(AS10,1)="B","B",AS10))</f>
      </c>
      <c r="BJ42" s="364">
        <f>IF(LEFT(AT10,1)="A","A",IF(LEFT(AT10,1)="B","B",AT10))</f>
      </c>
      <c r="BK42" s="364">
        <f>IF(LEFT(AV10,1)="A","A",IF(LEFT(AV10,1)="B","B",AV10))</f>
      </c>
      <c r="BL42" s="361">
        <f>IF(BM42&gt;0,"A"&amp;'登録'!$I$8,IF(BN42&gt;0,"B"&amp;'登録'!$I$8,BO42))</f>
        <v>0</v>
      </c>
      <c r="BM42" s="361">
        <f t="shared" si="85"/>
        <v>0</v>
      </c>
      <c r="BN42" s="361">
        <f t="shared" si="85"/>
        <v>0</v>
      </c>
      <c r="BO42" s="361">
        <f t="shared" si="34"/>
        <v>0</v>
      </c>
      <c r="BP42" s="361">
        <f t="shared" si="86"/>
        <v>0</v>
      </c>
      <c r="BQ42" s="361"/>
      <c r="BR42" s="361" t="str">
        <f>'★個人成績表★'!B41</f>
        <v>西峰 久祐</v>
      </c>
      <c r="BS42" s="361">
        <f aca="true" t="shared" si="87" ref="BS42:BS48">VLOOKUP(BR42,$AZ$6:$BL$59,13,FALSE)</f>
        <v>0</v>
      </c>
    </row>
    <row r="43" spans="1:71" s="274" customFormat="1" ht="15" customHeight="1" thickBot="1">
      <c r="A43" s="275">
        <v>6</v>
      </c>
      <c r="B43" s="355" t="str">
        <f t="shared" si="71"/>
        <v>WRC</v>
      </c>
      <c r="C43" s="369" t="str">
        <f>IF(B43="","",VLOOKUP(VALUE(A43&amp;B37),'登録'!$AE$2:$AH$55,3,FALSE))</f>
        <v>岸上 賢一</v>
      </c>
      <c r="D43" s="352">
        <f>IF(B43="","",VLOOKUP(VALUE(A43&amp;B37),'登録'!$AE$2:$AH$55,4,FALSE))</f>
        <v>120</v>
      </c>
      <c r="E43" s="304" t="str">
        <f>'★個人成績表★'!D54</f>
        <v>w</v>
      </c>
      <c r="F43" s="296">
        <f>'★個人成績表★'!F54</f>
        <v>76</v>
      </c>
      <c r="G43" s="296">
        <f>'★個人成績表★'!H54</f>
        <v>75</v>
      </c>
      <c r="H43" s="296" t="str">
        <f>'★個人成績表★'!E54</f>
        <v>w</v>
      </c>
      <c r="I43" s="296" t="str">
        <f>'★個人成績表★'!G54</f>
        <v>w</v>
      </c>
      <c r="J43" s="297"/>
      <c r="K43" s="284">
        <f t="shared" si="72"/>
        <v>3</v>
      </c>
      <c r="L43" s="285">
        <f t="shared" si="73"/>
        <v>2</v>
      </c>
      <c r="M43" s="293">
        <f t="shared" si="74"/>
        <v>511</v>
      </c>
      <c r="N43" s="293">
        <f>M43*'登録'!$I$8/'★対戦リーグ表★'!D43</f>
        <v>511</v>
      </c>
      <c r="O43" s="423">
        <f t="shared" si="75"/>
      </c>
      <c r="P43" s="416">
        <f t="shared" si="76"/>
        <v>511</v>
      </c>
      <c r="Q43" s="286">
        <f>IF(D43="","",K43*100000+N43)</f>
        <v>300511</v>
      </c>
      <c r="R43" s="352">
        <f>IF(COUNTBLANK(E43:J43)=6,"",RANK(Q43,Q38:Q43))</f>
        <v>2</v>
      </c>
      <c r="S43" s="459">
        <f>IF('結果入力表'!H20="","",'結果入力表'!H20)</f>
      </c>
      <c r="T43" s="460">
        <f>IF('結果入力表'!E48="","",'結果入力表'!E48)</f>
      </c>
      <c r="U43" s="460">
        <f>IF('結果入力表'!H97="","",'結果入力表'!H97)</f>
      </c>
      <c r="V43" s="460">
        <f>IF('結果入力表'!E34="","",'結果入力表'!E34)</f>
        <v>104</v>
      </c>
      <c r="W43" s="460">
        <f>IF('結果入力表'!H69="","",'結果入力表'!H69)</f>
      </c>
      <c r="X43" s="461"/>
      <c r="Y43" s="289">
        <v>63</v>
      </c>
      <c r="Z43" s="355" t="str">
        <f t="shared" si="77"/>
        <v>WRC</v>
      </c>
      <c r="AA43" s="369" t="str">
        <f>IF(Z43="","",VLOOKUP(Y43,'登録'!$AE$2:$AH$55,3,FALSE))</f>
        <v>丹次 力良</v>
      </c>
      <c r="AB43" s="352">
        <f>IF(Z43="","",VLOOKUP(Y43,'登録'!$AE$2:$AH$55,4,FALSE))</f>
        <v>120</v>
      </c>
      <c r="AC43" s="304" t="str">
        <f>'★個人成績表★'!I52</f>
        <v>w</v>
      </c>
      <c r="AD43" s="296" t="str">
        <f>'★個人成績表★'!K52</f>
        <v>w</v>
      </c>
      <c r="AE43" s="296" t="str">
        <f>'★個人成績表★'!M52</f>
        <v>w</v>
      </c>
      <c r="AF43" s="296" t="str">
        <f>'★個人成績表★'!J52</f>
        <v>w</v>
      </c>
      <c r="AG43" s="296">
        <f>'★個人成績表★'!L52</f>
        <v>54</v>
      </c>
      <c r="AH43" s="297"/>
      <c r="AI43" s="284">
        <f t="shared" si="78"/>
        <v>4</v>
      </c>
      <c r="AJ43" s="285">
        <f t="shared" si="79"/>
        <v>1</v>
      </c>
      <c r="AK43" s="293">
        <f t="shared" si="80"/>
        <v>534</v>
      </c>
      <c r="AL43" s="293">
        <f>AK43*'登録'!$I$8/'★対戦リーグ表★'!AB43</f>
        <v>534</v>
      </c>
      <c r="AM43" s="423">
        <f t="shared" si="81"/>
      </c>
      <c r="AN43" s="416">
        <f t="shared" si="82"/>
        <v>534</v>
      </c>
      <c r="AO43" s="286">
        <f>IF(AB43="","",AI43*100000+AL43)</f>
        <v>400534</v>
      </c>
      <c r="AP43" s="352">
        <f>IF(COUNTBLANK(AC43:AH43)=6,"",RANK(AO43,AO38:AO43))</f>
        <v>1</v>
      </c>
      <c r="AQ43" s="459">
        <f>IF('結果入力表'!H125="","",'結果入力表'!H125)</f>
      </c>
      <c r="AR43" s="460">
        <f>IF('結果入力表'!E153="","",'結果入力表'!E153)</f>
      </c>
      <c r="AS43" s="460">
        <f>IF('結果入力表'!H202="","",'結果入力表'!H202)</f>
      </c>
      <c r="AT43" s="460">
        <f>IF('結果入力表'!E139="","",'結果入力表'!E139)</f>
      </c>
      <c r="AU43" s="460">
        <f>IF('結果入力表'!H174="","",'結果入力表'!H174)</f>
      </c>
      <c r="AV43" s="461"/>
      <c r="AX43" s="361">
        <f t="shared" si="83"/>
        <v>11</v>
      </c>
      <c r="AZ43" s="361" t="str">
        <f t="shared" si="84"/>
        <v>岸上 賢一</v>
      </c>
      <c r="BA43" s="361" t="str">
        <f t="shared" si="32"/>
        <v>WRC</v>
      </c>
      <c r="BB43" s="364">
        <f>IF(LEFT(S43,1)="A","A",IF(LEFT(S43,1)="B","B",S43))</f>
      </c>
      <c r="BC43" s="364">
        <f>IF(LEFT(T43,1)="A","A",IF(LEFT(T43,1)="B","B",T43))</f>
      </c>
      <c r="BD43" s="364">
        <f>IF(LEFT(U43,1)="A","A",IF(LEFT(U43,1)="B","B",U43))</f>
      </c>
      <c r="BE43" s="364">
        <f>IF(LEFT(V43,1)="A","A",IF(LEFT(V43,1)="B","B",V43))</f>
        <v>104</v>
      </c>
      <c r="BF43" s="364">
        <f>IF(LEFT(W43,1)="A","A",IF(LEFT(W43,1)="B","B",W43))</f>
      </c>
      <c r="BG43" s="364">
        <f>IF(LEFT(AQ59,1)="A","A",IF(LEFT(AQ59,1)="B","B",AQ59))</f>
      </c>
      <c r="BH43" s="364">
        <f>IF(LEFT(AR59,1)="A","A",IF(LEFT(AR59,1)="B","B",AR59))</f>
      </c>
      <c r="BI43" s="364">
        <f>IF(LEFT(AS59,1)="A","A",IF(LEFT(AS59,1)="B","B",AS59))</f>
      </c>
      <c r="BJ43" s="364">
        <f>IF(LEFT(AT59,1)="A","A",IF(LEFT(AT59,1)="B","B",AT59))</f>
      </c>
      <c r="BK43" s="364">
        <f>IF(LEFT(AU59,1)="A","A",IF(LEFT(AU59,1)="B","B",AU59))</f>
      </c>
      <c r="BL43" s="361">
        <f>IF(BM43&gt;0,"A"&amp;'登録'!$I$8,IF(BN43&gt;0,"B"&amp;'登録'!$I$8,BO43))</f>
        <v>104</v>
      </c>
      <c r="BM43" s="361">
        <f t="shared" si="85"/>
        <v>0</v>
      </c>
      <c r="BN43" s="361">
        <f t="shared" si="85"/>
        <v>0</v>
      </c>
      <c r="BO43" s="361">
        <f t="shared" si="34"/>
        <v>104</v>
      </c>
      <c r="BP43" s="361">
        <f t="shared" si="86"/>
        <v>104</v>
      </c>
      <c r="BQ43" s="361"/>
      <c r="BR43" s="361" t="str">
        <f>'★個人成績表★'!B42</f>
        <v>長田 智紀</v>
      </c>
      <c r="BS43" s="361">
        <f t="shared" si="87"/>
        <v>0</v>
      </c>
    </row>
    <row r="44" spans="2:71" s="274" customFormat="1" ht="15" customHeight="1" thickBot="1"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8"/>
      <c r="N44" s="288"/>
      <c r="O44" s="287"/>
      <c r="P44" s="417"/>
      <c r="Q44" s="288"/>
      <c r="R44" s="287"/>
      <c r="S44" s="462"/>
      <c r="T44" s="462"/>
      <c r="U44" s="462"/>
      <c r="V44" s="462"/>
      <c r="W44" s="462"/>
      <c r="X44" s="462"/>
      <c r="Y44" s="275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8"/>
      <c r="AL44" s="288"/>
      <c r="AM44" s="287"/>
      <c r="AN44" s="417"/>
      <c r="AO44" s="288"/>
      <c r="AP44" s="287"/>
      <c r="AQ44" s="462"/>
      <c r="AR44" s="462"/>
      <c r="AS44" s="462"/>
      <c r="AT44" s="462"/>
      <c r="AU44" s="462"/>
      <c r="AV44" s="462"/>
      <c r="AX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>
        <f>IF(BM44&gt;0,"A"&amp;'登録'!$I$8,IF(BN44&gt;0,"B"&amp;'登録'!$I$8,BO44))</f>
        <v>0</v>
      </c>
      <c r="BM44" s="361"/>
      <c r="BN44" s="361"/>
      <c r="BO44" s="361"/>
      <c r="BP44" s="361"/>
      <c r="BQ44" s="361"/>
      <c r="BR44" s="361" t="str">
        <f>'★個人成績表★'!B43</f>
        <v>大橋 義治</v>
      </c>
      <c r="BS44" s="361">
        <f t="shared" si="87"/>
        <v>0</v>
      </c>
    </row>
    <row r="45" spans="2:71" s="274" customFormat="1" ht="15" customHeight="1" thickBot="1">
      <c r="B45" s="305">
        <v>6</v>
      </c>
      <c r="C45" s="300" t="s">
        <v>89</v>
      </c>
      <c r="D45" s="419" t="s">
        <v>124</v>
      </c>
      <c r="E45" s="356" t="str">
        <f>B46</f>
        <v>KRC</v>
      </c>
      <c r="F45" s="357" t="str">
        <f>B47</f>
        <v>HRC</v>
      </c>
      <c r="G45" s="357" t="str">
        <f>B48</f>
        <v>ORC</v>
      </c>
      <c r="H45" s="357" t="str">
        <f>B49</f>
        <v>NRC</v>
      </c>
      <c r="I45" s="357" t="str">
        <f>B50</f>
        <v>SBC</v>
      </c>
      <c r="J45" s="358" t="str">
        <f>B51</f>
        <v>WRC</v>
      </c>
      <c r="K45" s="347" t="s">
        <v>93</v>
      </c>
      <c r="L45" s="290" t="s">
        <v>94</v>
      </c>
      <c r="M45" s="301" t="s">
        <v>95</v>
      </c>
      <c r="N45" s="301" t="s">
        <v>99</v>
      </c>
      <c r="O45" s="410" t="s">
        <v>28</v>
      </c>
      <c r="P45" s="290"/>
      <c r="Q45" s="291" t="s">
        <v>96</v>
      </c>
      <c r="R45" s="348" t="s">
        <v>97</v>
      </c>
      <c r="S45" s="449"/>
      <c r="T45" s="450"/>
      <c r="U45" s="450"/>
      <c r="V45" s="450"/>
      <c r="W45" s="451"/>
      <c r="X45" s="451"/>
      <c r="Y45" s="275"/>
      <c r="Z45" s="305">
        <v>6</v>
      </c>
      <c r="AA45" s="300" t="s">
        <v>89</v>
      </c>
      <c r="AB45" s="419" t="s">
        <v>119</v>
      </c>
      <c r="AC45" s="356" t="str">
        <f>$B$6</f>
        <v>KRC</v>
      </c>
      <c r="AD45" s="357" t="str">
        <f>$B$7</f>
        <v>HRC</v>
      </c>
      <c r="AE45" s="357" t="str">
        <f>$B$8</f>
        <v>ORC</v>
      </c>
      <c r="AF45" s="357" t="str">
        <f>$B$9</f>
        <v>NRC</v>
      </c>
      <c r="AG45" s="357" t="str">
        <f>$B$10</f>
        <v>SBC</v>
      </c>
      <c r="AH45" s="358" t="str">
        <f>$B$11</f>
        <v>WRC</v>
      </c>
      <c r="AI45" s="347" t="s">
        <v>93</v>
      </c>
      <c r="AJ45" s="290" t="s">
        <v>94</v>
      </c>
      <c r="AK45" s="301" t="s">
        <v>95</v>
      </c>
      <c r="AL45" s="301" t="s">
        <v>99</v>
      </c>
      <c r="AM45" s="410" t="s">
        <v>28</v>
      </c>
      <c r="AN45" s="290"/>
      <c r="AO45" s="291" t="s">
        <v>96</v>
      </c>
      <c r="AP45" s="348" t="s">
        <v>97</v>
      </c>
      <c r="AQ45" s="449"/>
      <c r="AR45" s="450"/>
      <c r="AS45" s="450"/>
      <c r="AT45" s="450"/>
      <c r="AU45" s="451"/>
      <c r="AV45" s="451"/>
      <c r="AX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>
        <f>IF(BM45&gt;0,"A"&amp;'登録'!$I$8,IF(BN45&gt;0,"B"&amp;'登録'!$I$8,BO45))</f>
        <v>0</v>
      </c>
      <c r="BM45" s="361"/>
      <c r="BN45" s="361"/>
      <c r="BO45" s="361"/>
      <c r="BP45" s="361"/>
      <c r="BQ45" s="361"/>
      <c r="BR45" s="361" t="str">
        <f>'★個人成績表★'!B44</f>
        <v>山中 康寛</v>
      </c>
      <c r="BS45" s="361">
        <f t="shared" si="87"/>
        <v>0</v>
      </c>
    </row>
    <row r="46" spans="1:71" s="274" customFormat="1" ht="15" customHeight="1" thickTop="1">
      <c r="A46" s="275">
        <v>1</v>
      </c>
      <c r="B46" s="28" t="str">
        <f aca="true" t="shared" si="88" ref="B46:B51">B38</f>
        <v>KRC</v>
      </c>
      <c r="C46" s="367" t="str">
        <f>VLOOKUP(VALUE(A46&amp;B45),'登録'!$AE$2:$AH$55,3,FALSE)</f>
        <v>田附 裕次</v>
      </c>
      <c r="D46" s="350">
        <f>VLOOKUP(VALUE(A46&amp;B45),'登録'!$AE$2:$AH$55,4,FALSE)</f>
        <v>120</v>
      </c>
      <c r="E46" s="306"/>
      <c r="F46" s="302" t="str">
        <f>'★個人成績表★'!H10</f>
        <v>w</v>
      </c>
      <c r="G46" s="302" t="str">
        <f>'★個人成績表★'!G10</f>
        <v>w</v>
      </c>
      <c r="H46" s="302" t="str">
        <f>'★個人成績表★'!F10</f>
        <v>w</v>
      </c>
      <c r="I46" s="302" t="str">
        <f>'★個人成績表★'!E10</f>
        <v>w</v>
      </c>
      <c r="J46" s="302" t="str">
        <f>'★個人成績表★'!D10</f>
        <v>w</v>
      </c>
      <c r="K46" s="349">
        <f aca="true" t="shared" si="89" ref="K46:K51">IF(COUNTBLANK(E46:J46)=6,"",COUNTIF(E46:J46,"w"))</f>
        <v>5</v>
      </c>
      <c r="L46" s="276">
        <f aca="true" t="shared" si="90" ref="L46:L51">IF(COUNTBLANK(E46:J46)=6,"",6-COUNTBLANK(E46:J46)-K46)</f>
        <v>0</v>
      </c>
      <c r="M46" s="303">
        <f aca="true" t="shared" si="91" ref="M46:M51">K46*D46+SUM(E46:J46)</f>
        <v>600</v>
      </c>
      <c r="N46" s="303">
        <f>M46*'登録'!$I$8/'★対戦リーグ表★'!D46</f>
        <v>600</v>
      </c>
      <c r="O46" s="420">
        <f aca="true" t="shared" si="92" ref="O46:O51">IF(ISERROR(N46),"",IF(M46=N46,"","*"))</f>
      </c>
      <c r="P46" s="414">
        <f aca="true" t="shared" si="93" ref="P46:P51">IF(COUNTBLANK(E46:J46)=6,"",N46)</f>
        <v>600</v>
      </c>
      <c r="Q46" s="277">
        <f>K46*100000+N46</f>
        <v>500600</v>
      </c>
      <c r="R46" s="350">
        <f>IF(COUNTBLANK(E46:J46)=6,"",RANK(Q46,Q46:Q51))</f>
        <v>1</v>
      </c>
      <c r="S46" s="452"/>
      <c r="T46" s="453">
        <f>IF('結果入力表'!E105="","",'結果入力表'!E105)</f>
      </c>
      <c r="U46" s="453" t="str">
        <f>IF('結果入力表'!E84="","",'結果入力表'!E84)</f>
        <v>120B</v>
      </c>
      <c r="V46" s="453">
        <f>IF('結果入力表'!E63="","",'結果入力表'!E63)</f>
      </c>
      <c r="W46" s="453">
        <f>IF('結果入力表'!E42="","",'結果入力表'!E42)</f>
      </c>
      <c r="X46" s="454">
        <f>IF('結果入力表'!E21="","",'結果入力表'!E21)</f>
      </c>
      <c r="Y46" s="275">
        <v>16</v>
      </c>
      <c r="Z46" s="28" t="str">
        <f aca="true" t="shared" si="94" ref="Z46:Z51">Z38</f>
        <v>KRC</v>
      </c>
      <c r="AA46" s="367" t="str">
        <f>VLOOKUP(Y46,'登録'!$AE$2:$AH$55,3,FALSE)</f>
        <v>田附 裕次</v>
      </c>
      <c r="AB46" s="350">
        <f>VLOOKUP(Y46,'登録'!$AE$2:$AH$55,4,FALSE)</f>
        <v>120</v>
      </c>
      <c r="AC46" s="306"/>
      <c r="AD46" s="302" t="str">
        <f>'★個人成績表★'!M10</f>
        <v>w</v>
      </c>
      <c r="AE46" s="302">
        <f>'★個人成績表★'!L10</f>
        <v>0</v>
      </c>
      <c r="AF46" s="302" t="str">
        <f>'★個人成績表★'!K10</f>
        <v>w</v>
      </c>
      <c r="AG46" s="302">
        <f>'★個人成績表★'!J10</f>
        <v>28</v>
      </c>
      <c r="AH46" s="302" t="str">
        <f>'★個人成績表★'!I10</f>
        <v>w</v>
      </c>
      <c r="AI46" s="349">
        <f aca="true" t="shared" si="95" ref="AI46:AI51">IF(COUNTBLANK(AC46:AH46)=6,"",COUNTIF(AC46:AH46,"w"))</f>
        <v>3</v>
      </c>
      <c r="AJ46" s="276">
        <f aca="true" t="shared" si="96" ref="AJ46:AJ51">IF(COUNTBLANK(AC46:AH46)=6,"",6-COUNTBLANK(AC46:AH46)-AI46)</f>
        <v>2</v>
      </c>
      <c r="AK46" s="303">
        <f aca="true" t="shared" si="97" ref="AK46:AK51">AI46*AB46+SUM(AC46:AH46)</f>
        <v>388</v>
      </c>
      <c r="AL46" s="303">
        <f>AK46*'登録'!$I$8/'★対戦リーグ表★'!AB46</f>
        <v>388</v>
      </c>
      <c r="AM46" s="420">
        <f aca="true" t="shared" si="98" ref="AM46:AM51">IF(ISERROR(AL46),"",IF(AK46=AL46,"","*"))</f>
      </c>
      <c r="AN46" s="414">
        <f aca="true" t="shared" si="99" ref="AN46:AN51">IF(COUNTBLANK(AC46:AH46)=6,"",AL46)</f>
        <v>388</v>
      </c>
      <c r="AO46" s="277">
        <f>AI46*100000+AL46</f>
        <v>300388</v>
      </c>
      <c r="AP46" s="350">
        <f>IF(COUNTBLANK(AC46:AH46)=6,"",RANK(AO46,AO46:AO51))</f>
        <v>3</v>
      </c>
      <c r="AQ46" s="452"/>
      <c r="AR46" s="453">
        <f>IF('結果入力表'!E210="","",'結果入力表'!E210)</f>
      </c>
      <c r="AS46" s="453">
        <f>IF('結果入力表'!E189="","",'結果入力表'!E189)</f>
      </c>
      <c r="AT46" s="453">
        <f>IF('結果入力表'!E168="","",'結果入力表'!E168)</f>
        <v>100</v>
      </c>
      <c r="AU46" s="453">
        <f>IF('結果入力表'!E147="","",'結果入力表'!E147)</f>
      </c>
      <c r="AV46" s="454">
        <f>IF('結果入力表'!E126="","",'結果入力表'!E126)</f>
        <v>108</v>
      </c>
      <c r="AX46" s="361">
        <f aca="true" t="shared" si="100" ref="AX46:AX51">RANK(BP46,$BP$6:$BP$59)</f>
        <v>8</v>
      </c>
      <c r="AZ46" s="361" t="str">
        <f aca="true" t="shared" si="101" ref="AZ46:AZ51">C46</f>
        <v>田附 裕次</v>
      </c>
      <c r="BA46" s="361" t="str">
        <f>B46</f>
        <v>KRC</v>
      </c>
      <c r="BB46" s="364">
        <f>IF(LEFT(T46,1)="A","A",IF(LEFT(T46,1)="B","B",T46))</f>
      </c>
      <c r="BC46" s="364" t="str">
        <f>IF(LEFT(U46,1)="A","A",IF(LEFT(U46,1)="B","B",U46))</f>
        <v>120B</v>
      </c>
      <c r="BD46" s="364">
        <f>IF(LEFT(V46,1)="A","A",IF(LEFT(V46,1)="B","B",V46))</f>
      </c>
      <c r="BE46" s="364">
        <f>IF(LEFT(W46,1)="A","A",IF(LEFT(W46,1)="B","B",W46))</f>
      </c>
      <c r="BF46" s="364">
        <f>IF(LEFT(X46,1)="A","A",IF(LEFT(X46,1)="B","B",X46))</f>
      </c>
      <c r="BG46" s="364">
        <f>IF(LEFT(AR46,1)="A","A",IF(LEFT(AR46,1)="B","B",AR46))</f>
      </c>
      <c r="BH46" s="364">
        <f>IF(LEFT(AS46,1)="A","A",IF(LEFT(AS46,1)="B","B",AS46))</f>
      </c>
      <c r="BI46" s="364">
        <f>IF(LEFT(AT46,1)="A","A",IF(LEFT(AT46,1)="B","B",AT46))</f>
        <v>100</v>
      </c>
      <c r="BJ46" s="364">
        <f>IF(LEFT(AU46,1)="A","A",IF(LEFT(AU46,1)="B","B",AU46))</f>
      </c>
      <c r="BK46" s="364">
        <f>IF(LEFT(AV46,1)="A","A",IF(LEFT(AV46,1)="B","B",AV46))</f>
        <v>108</v>
      </c>
      <c r="BL46" s="361">
        <f>IF(BM46&gt;0,"A"&amp;'登録'!$I$8,IF(BN46&gt;0,"B"&amp;'登録'!$I$8,BO46))</f>
        <v>108</v>
      </c>
      <c r="BM46" s="361">
        <f aca="true" t="shared" si="102" ref="BM46:BN51">COUNTIF($BB46:$BK46,BM$5)</f>
        <v>0</v>
      </c>
      <c r="BN46" s="361">
        <f t="shared" si="102"/>
        <v>0</v>
      </c>
      <c r="BO46" s="361">
        <f>MAX(BB46:BK46)</f>
        <v>108</v>
      </c>
      <c r="BP46" s="361">
        <f aca="true" t="shared" si="103" ref="BP46:BP51">BM46*10000+BN46*1000+BO46</f>
        <v>108</v>
      </c>
      <c r="BQ46" s="361"/>
      <c r="BR46" s="361" t="str">
        <f>'★個人成績表★'!B45</f>
        <v>高島 太一</v>
      </c>
      <c r="BS46" s="361">
        <f t="shared" si="87"/>
        <v>0</v>
      </c>
    </row>
    <row r="47" spans="1:71" s="274" customFormat="1" ht="15" customHeight="1">
      <c r="A47" s="275">
        <v>2</v>
      </c>
      <c r="B47" s="27" t="str">
        <f t="shared" si="88"/>
        <v>HRC</v>
      </c>
      <c r="C47" s="368" t="str">
        <f>VLOOKUP(VALUE(A47&amp;B45),'登録'!$AE$2:$AH$55,3,FALSE)</f>
        <v>平井 洸志</v>
      </c>
      <c r="D47" s="351">
        <f>VLOOKUP(VALUE(A47&amp;B45),'登録'!$AE$2:$AH$55,4,FALSE)</f>
        <v>120</v>
      </c>
      <c r="E47" s="298">
        <f>'★個人成績表★'!H19</f>
        <v>119</v>
      </c>
      <c r="F47" s="294"/>
      <c r="G47" s="295">
        <f>'★個人成績表★'!E19</f>
        <v>49</v>
      </c>
      <c r="H47" s="295" t="str">
        <f>'★個人成績表★'!G19</f>
        <v>w</v>
      </c>
      <c r="I47" s="295" t="str">
        <f>'★個人成績表★'!D19</f>
        <v>w</v>
      </c>
      <c r="J47" s="295" t="str">
        <f>'★個人成績表★'!F18</f>
        <v>w</v>
      </c>
      <c r="K47" s="280">
        <f t="shared" si="89"/>
        <v>3</v>
      </c>
      <c r="L47" s="278">
        <f t="shared" si="90"/>
        <v>2</v>
      </c>
      <c r="M47" s="299">
        <f t="shared" si="91"/>
        <v>528</v>
      </c>
      <c r="N47" s="299">
        <f>M47*'登録'!$I$8/'★対戦リーグ表★'!D47</f>
        <v>528</v>
      </c>
      <c r="O47" s="421">
        <f t="shared" si="92"/>
      </c>
      <c r="P47" s="415">
        <f t="shared" si="93"/>
        <v>528</v>
      </c>
      <c r="Q47" s="279">
        <f>K47*100000+N47</f>
        <v>300528</v>
      </c>
      <c r="R47" s="351">
        <f>IF(COUNTBLANK(E47:J47)=6,"",RANK(Q47,Q46:Q51))</f>
        <v>2</v>
      </c>
      <c r="S47" s="455">
        <f>IF('結果入力表'!H105="","",'結果入力表'!H105)</f>
      </c>
      <c r="T47" s="456"/>
      <c r="U47" s="457">
        <f>IF('結果入力表'!E28="","",'結果入力表'!E28)</f>
      </c>
      <c r="V47" s="457">
        <f>IF('結果入力表'!H77="","",'結果入力表'!H77)</f>
      </c>
      <c r="W47" s="457">
        <f>IF('結果入力表'!E14="","",'結果入力表'!E14)</f>
      </c>
      <c r="X47" s="458">
        <f>IF('結果入力表'!H49="","",'結果入力表'!H49)</f>
      </c>
      <c r="Y47" s="289">
        <v>27</v>
      </c>
      <c r="Z47" s="27" t="str">
        <f t="shared" si="94"/>
        <v>HRC</v>
      </c>
      <c r="AA47" s="368" t="str">
        <f>VLOOKUP(Y47,'登録'!$AE$2:$AH$55,3,FALSE)</f>
        <v>栃下 恭子</v>
      </c>
      <c r="AB47" s="351">
        <f>VLOOKUP(Y47,'登録'!$AE$2:$AH$55,4,FALSE)</f>
        <v>100</v>
      </c>
      <c r="AC47" s="298">
        <f>'★個人成績表★'!M20</f>
        <v>66</v>
      </c>
      <c r="AD47" s="294"/>
      <c r="AE47" s="295">
        <f>'★個人成績表★'!J20</f>
        <v>64</v>
      </c>
      <c r="AF47" s="295" t="str">
        <f>'★個人成績表★'!L20</f>
        <v>w</v>
      </c>
      <c r="AG47" s="295">
        <f>'★個人成績表★'!I20</f>
        <v>78</v>
      </c>
      <c r="AH47" s="295" t="str">
        <f>'★個人成績表★'!K20</f>
        <v>w</v>
      </c>
      <c r="AI47" s="280">
        <f t="shared" si="95"/>
        <v>2</v>
      </c>
      <c r="AJ47" s="278">
        <f t="shared" si="96"/>
        <v>3</v>
      </c>
      <c r="AK47" s="299">
        <f t="shared" si="97"/>
        <v>408</v>
      </c>
      <c r="AL47" s="299">
        <f>AK47*'登録'!$I$8/'★対戦リーグ表★'!AB47</f>
        <v>489.6</v>
      </c>
      <c r="AM47" s="421" t="str">
        <f t="shared" si="98"/>
        <v>*</v>
      </c>
      <c r="AN47" s="415">
        <f t="shared" si="99"/>
        <v>489.6</v>
      </c>
      <c r="AO47" s="279">
        <f>AI47*100000+AL47</f>
        <v>200489.6</v>
      </c>
      <c r="AP47" s="351">
        <f>IF(COUNTBLANK(AC47:AH47)=6,"",RANK(AO47,AO46:AO51))</f>
        <v>4</v>
      </c>
      <c r="AQ47" s="455">
        <f>IF('結果入力表'!H210="","",'結果入力表'!H210)</f>
      </c>
      <c r="AR47" s="456"/>
      <c r="AS47" s="457">
        <f>IF('結果入力表'!E133="","",'結果入力表'!E133)</f>
      </c>
      <c r="AT47" s="457">
        <f>IF('結果入力表'!H182="","",'結果入力表'!H182)</f>
      </c>
      <c r="AU47" s="457">
        <f>IF('結果入力表'!E119="","",'結果入力表'!E119)</f>
      </c>
      <c r="AV47" s="458">
        <f>IF('結果入力表'!H154="","",'結果入力表'!H154)</f>
      </c>
      <c r="AX47" s="361">
        <f t="shared" si="100"/>
        <v>17</v>
      </c>
      <c r="AZ47" s="361" t="str">
        <f t="shared" si="101"/>
        <v>平井 洸志</v>
      </c>
      <c r="BA47" s="361" t="str">
        <f t="shared" si="32"/>
        <v>HRC</v>
      </c>
      <c r="BB47" s="364">
        <f>IF(LEFT(S47,1)="A","A",IF(LEFT(S47,1)="B","B",S47))</f>
      </c>
      <c r="BC47" s="364">
        <f>IF(LEFT(U47,1)="A","A",IF(LEFT(U47,1)="B","B",U47))</f>
      </c>
      <c r="BD47" s="364">
        <f>IF(LEFT(V47,1)="A","A",IF(LEFT(V47,1)="B","B",V47))</f>
      </c>
      <c r="BE47" s="364">
        <f>IF(LEFT(W47,1)="A","A",IF(LEFT(W47,1)="B","B",W47))</f>
      </c>
      <c r="BF47" s="364">
        <f>IF(LEFT(X47,1)="A","A",IF(LEFT(X47,1)="B","B",X47))</f>
      </c>
      <c r="BG47" s="364">
        <f>IF(LEFT(AQ39,1)="A","A",IF(LEFT(AQ39,1)="B","B",AQ39))</f>
      </c>
      <c r="BH47" s="364">
        <f>IF(LEFT(AS39,1)="A","A",IF(LEFT(AS39,1)="B","B",AS39))</f>
      </c>
      <c r="BI47" s="364">
        <f>IF(LEFT(AT39,1)="A","A",IF(LEFT(AT39,1)="B","B",AT39))</f>
      </c>
      <c r="BJ47" s="364">
        <f>IF(LEFT(AU39,1)="A","A",IF(LEFT(AU39,1)="B","B",AU39))</f>
      </c>
      <c r="BK47" s="364">
        <f>IF(LEFT(AV39,1)="A","A",IF(LEFT(AV39,1)="B","B",AV39))</f>
      </c>
      <c r="BL47" s="361">
        <f>IF(BM47&gt;0,"A"&amp;'登録'!$I$8,IF(BN47&gt;0,"B"&amp;'登録'!$I$8,BO47))</f>
        <v>0</v>
      </c>
      <c r="BM47" s="361">
        <f t="shared" si="102"/>
        <v>0</v>
      </c>
      <c r="BN47" s="361">
        <f t="shared" si="102"/>
        <v>0</v>
      </c>
      <c r="BO47" s="361">
        <f t="shared" si="34"/>
        <v>0</v>
      </c>
      <c r="BP47" s="361">
        <f t="shared" si="103"/>
        <v>0</v>
      </c>
      <c r="BQ47" s="361"/>
      <c r="BR47" s="361" t="str">
        <f>'★個人成績表★'!B46</f>
        <v>須藤 浩章</v>
      </c>
      <c r="BS47" s="361">
        <f t="shared" si="87"/>
        <v>0</v>
      </c>
    </row>
    <row r="48" spans="1:71" s="274" customFormat="1" ht="15" customHeight="1">
      <c r="A48" s="275">
        <v>3</v>
      </c>
      <c r="B48" s="27" t="str">
        <f t="shared" si="88"/>
        <v>ORC</v>
      </c>
      <c r="C48" s="368" t="str">
        <f>VLOOKUP(VALUE(A48&amp;B45),'登録'!$AE$2:$AH$55,3,FALSE)</f>
        <v>田中 隆介</v>
      </c>
      <c r="D48" s="351">
        <f>VLOOKUP(VALUE(A48&amp;B45),'登録'!$AE$2:$AH$55,4,FALSE)</f>
        <v>120</v>
      </c>
      <c r="E48" s="298">
        <f>'★個人成績表★'!G28</f>
        <v>0</v>
      </c>
      <c r="F48" s="295" t="str">
        <f>'★個人成績表★'!E28</f>
        <v>w</v>
      </c>
      <c r="G48" s="294"/>
      <c r="H48" s="295" t="str">
        <f>'★個人成績表★'!D28</f>
        <v>w</v>
      </c>
      <c r="I48" s="295">
        <f>'★個人成績表★'!F28</f>
        <v>66</v>
      </c>
      <c r="J48" s="295" t="str">
        <f>'★個人成績表★'!H28</f>
        <v>w</v>
      </c>
      <c r="K48" s="280">
        <f t="shared" si="89"/>
        <v>3</v>
      </c>
      <c r="L48" s="278">
        <f t="shared" si="90"/>
        <v>2</v>
      </c>
      <c r="M48" s="299">
        <f t="shared" si="91"/>
        <v>426</v>
      </c>
      <c r="N48" s="299">
        <f>M48*'登録'!$I$8/'★対戦リーグ表★'!D48</f>
        <v>426</v>
      </c>
      <c r="O48" s="421">
        <f t="shared" si="92"/>
      </c>
      <c r="P48" s="415">
        <f t="shared" si="93"/>
        <v>426</v>
      </c>
      <c r="Q48" s="279">
        <f>K48*100000+N48</f>
        <v>300426</v>
      </c>
      <c r="R48" s="351">
        <f>IF(COUNTBLANK(E48:J48)=6,"",RANK(Q48,Q46:Q51))</f>
        <v>3</v>
      </c>
      <c r="S48" s="455">
        <f>IF('結果入力表'!H84="","",'結果入力表'!H84)</f>
      </c>
      <c r="T48" s="457">
        <f>IF('結果入力表'!H28="","",'結果入力表'!H28)</f>
      </c>
      <c r="U48" s="456"/>
      <c r="V48" s="457">
        <f>IF('結果入力表'!E7="","",'結果入力表'!E7)</f>
      </c>
      <c r="W48" s="457">
        <f>IF('結果入力表'!H56="","",'結果入力表'!H56)</f>
      </c>
      <c r="X48" s="458">
        <f>IF('結果入力表'!E98="","",'結果入力表'!E98)</f>
      </c>
      <c r="Y48" s="289">
        <v>31</v>
      </c>
      <c r="Z48" s="27" t="str">
        <f t="shared" si="94"/>
        <v>ORC</v>
      </c>
      <c r="AA48" s="368" t="str">
        <f>VLOOKUP(Y48,'登録'!$AE$2:$AH$55,3,FALSE)</f>
        <v>村上 泰辰</v>
      </c>
      <c r="AB48" s="351">
        <f>VLOOKUP(Y48,'登録'!$AE$2:$AH$55,4,FALSE)</f>
        <v>120</v>
      </c>
      <c r="AC48" s="298" t="str">
        <f>'★個人成績表★'!L23</f>
        <v>w</v>
      </c>
      <c r="AD48" s="295" t="str">
        <f>'★個人成績表★'!J23</f>
        <v>w</v>
      </c>
      <c r="AE48" s="294"/>
      <c r="AF48" s="295" t="str">
        <f>'★個人成績表★'!I23</f>
        <v>w</v>
      </c>
      <c r="AG48" s="295">
        <f>'★個人成績表★'!K23</f>
        <v>116</v>
      </c>
      <c r="AH48" s="295" t="str">
        <f>'★個人成績表★'!M23</f>
        <v>w</v>
      </c>
      <c r="AI48" s="280">
        <f t="shared" si="95"/>
        <v>4</v>
      </c>
      <c r="AJ48" s="278">
        <f t="shared" si="96"/>
        <v>1</v>
      </c>
      <c r="AK48" s="299">
        <f t="shared" si="97"/>
        <v>596</v>
      </c>
      <c r="AL48" s="299">
        <f>AK48*'登録'!$I$8/'★対戦リーグ表★'!AB48</f>
        <v>596</v>
      </c>
      <c r="AM48" s="421">
        <f t="shared" si="98"/>
      </c>
      <c r="AN48" s="415">
        <f t="shared" si="99"/>
        <v>596</v>
      </c>
      <c r="AO48" s="279">
        <f>AI48*100000+AL48</f>
        <v>400596</v>
      </c>
      <c r="AP48" s="351">
        <f>IF(COUNTBLANK(AC48:AH48)=6,"",RANK(AO48,AO46:AO51))</f>
        <v>2</v>
      </c>
      <c r="AQ48" s="455" t="str">
        <f>IF('結果入力表'!H189="","",'結果入力表'!H189)</f>
        <v>120B</v>
      </c>
      <c r="AR48" s="457">
        <f>IF('結果入力表'!H133="","",'結果入力表'!H133)</f>
      </c>
      <c r="AS48" s="456"/>
      <c r="AT48" s="457">
        <f>IF('結果入力表'!E112="","",'結果入力表'!E112)</f>
      </c>
      <c r="AU48" s="457">
        <f>IF('結果入力表'!H161="","",'結果入力表'!H161)</f>
      </c>
      <c r="AV48" s="458">
        <f>IF('結果入力表'!E203="","",'結果入力表'!E203)</f>
      </c>
      <c r="AX48" s="361">
        <f t="shared" si="100"/>
        <v>17</v>
      </c>
      <c r="AZ48" s="361" t="str">
        <f t="shared" si="101"/>
        <v>田中 隆介</v>
      </c>
      <c r="BA48" s="361" t="str">
        <f t="shared" si="32"/>
        <v>ORC</v>
      </c>
      <c r="BB48" s="364">
        <f>IF(LEFT(S48,1)="A","A",IF(LEFT(S48,1)="B","B",S48))</f>
      </c>
      <c r="BC48" s="364">
        <f>IF(LEFT(T48,1)="A","A",IF(LEFT(T48,1)="B","B",T48))</f>
      </c>
      <c r="BD48" s="364">
        <f>IF(LEFT(V48,1)="A","A",IF(LEFT(V48,1)="B","B",V48))</f>
      </c>
      <c r="BE48" s="364">
        <f>IF(LEFT(W48,1)="A","A",IF(LEFT(W48,1)="B","B",W48))</f>
      </c>
      <c r="BF48" s="364">
        <f>IF(LEFT(X48,1)="A","A",IF(LEFT(X48,1)="B","B",X48))</f>
      </c>
      <c r="BG48" s="364">
        <f>IF(LEFT(AQ32,1)="A","A",IF(LEFT(AQ32,1)="B","B",AQ32))</f>
      </c>
      <c r="BH48" s="364">
        <f>IF(LEFT(AR32,1)="A","A",IF(LEFT(AR32,1)="B","B",AR32))</f>
      </c>
      <c r="BI48" s="364">
        <f>IF(LEFT(AT32,1)="A","A",IF(LEFT(AT32,1)="B","B",AT32))</f>
      </c>
      <c r="BJ48" s="364">
        <f>IF(LEFT(AU32,1)="A","A",IF(LEFT(AU32,1)="B","B",AU32))</f>
      </c>
      <c r="BK48" s="364">
        <f>IF(LEFT(AV32,1)="A","A",IF(LEFT(AV32,1)="B","B",AV32))</f>
      </c>
      <c r="BL48" s="361">
        <f>IF(BM48&gt;0,"A"&amp;'登録'!$I$8,IF(BN48&gt;0,"B"&amp;'登録'!$I$8,BO48))</f>
        <v>0</v>
      </c>
      <c r="BM48" s="361">
        <f t="shared" si="102"/>
        <v>0</v>
      </c>
      <c r="BN48" s="361">
        <f t="shared" si="102"/>
        <v>0</v>
      </c>
      <c r="BO48" s="361">
        <f t="shared" si="34"/>
        <v>0</v>
      </c>
      <c r="BP48" s="361">
        <f t="shared" si="103"/>
        <v>0</v>
      </c>
      <c r="BQ48" s="361"/>
      <c r="BR48" s="361" t="str">
        <f>'★個人成績表★'!B47</f>
        <v>酒井 美希</v>
      </c>
      <c r="BS48" s="361">
        <f t="shared" si="87"/>
        <v>0</v>
      </c>
    </row>
    <row r="49" spans="1:70" s="274" customFormat="1" ht="15" customHeight="1">
      <c r="A49" s="275">
        <v>4</v>
      </c>
      <c r="B49" s="27" t="str">
        <f t="shared" si="88"/>
        <v>NRC</v>
      </c>
      <c r="C49" s="368" t="str">
        <f>VLOOKUP(VALUE(A49&amp;B45),'登録'!$AE$2:$AH$55,3,FALSE)</f>
        <v>長谷川 進</v>
      </c>
      <c r="D49" s="351">
        <f>VLOOKUP(VALUE(A49&amp;B45),'登録'!$AE$2:$AH$55,4,FALSE)</f>
        <v>120</v>
      </c>
      <c r="E49" s="298">
        <f>'★個人成績表★'!F37</f>
        <v>98</v>
      </c>
      <c r="F49" s="295" t="str">
        <f>'★個人成績表★'!G37</f>
        <v>s</v>
      </c>
      <c r="G49" s="295">
        <f>'★個人成績表★'!D37</f>
        <v>46</v>
      </c>
      <c r="H49" s="294"/>
      <c r="I49" s="295" t="str">
        <f>'★個人成績表★'!H37</f>
        <v>w</v>
      </c>
      <c r="J49" s="295">
        <f>'★個人成績表★'!E37</f>
        <v>101</v>
      </c>
      <c r="K49" s="280">
        <f t="shared" si="89"/>
        <v>1</v>
      </c>
      <c r="L49" s="278">
        <f t="shared" si="90"/>
        <v>4</v>
      </c>
      <c r="M49" s="299">
        <f t="shared" si="91"/>
        <v>365</v>
      </c>
      <c r="N49" s="299">
        <f>M49*'登録'!$I$8/'★対戦リーグ表★'!D49</f>
        <v>365</v>
      </c>
      <c r="O49" s="421">
        <f t="shared" si="92"/>
      </c>
      <c r="P49" s="415">
        <f t="shared" si="93"/>
        <v>365</v>
      </c>
      <c r="Q49" s="279">
        <f>K49*100000+N49</f>
        <v>100365</v>
      </c>
      <c r="R49" s="351">
        <f>IF(COUNTBLANK(E49:J49)=6,"",RANK(Q49,Q46:Q51))</f>
        <v>6</v>
      </c>
      <c r="S49" s="455">
        <f>IF('結果入力表'!H63="","",'結果入力表'!H63)</f>
      </c>
      <c r="T49" s="457">
        <f>IF('結果入力表'!E77="","",'結果入力表'!E77)</f>
      </c>
      <c r="U49" s="457">
        <f>IF('結果入力表'!H7="","",'結果入力表'!H7)</f>
      </c>
      <c r="V49" s="456"/>
      <c r="W49" s="457">
        <f>IF('結果入力表'!E91="","",'結果入力表'!E91)</f>
      </c>
      <c r="X49" s="458">
        <f>IF('結果入力表'!H35="","",'結果入力表'!H35)</f>
      </c>
      <c r="Y49" s="289">
        <v>42</v>
      </c>
      <c r="Z49" s="27" t="str">
        <f t="shared" si="94"/>
        <v>NRC</v>
      </c>
      <c r="AA49" s="368" t="str">
        <f>VLOOKUP(Y49,'登録'!$AE$2:$AH$55,3,FALSE)</f>
        <v>近藤 拓馬</v>
      </c>
      <c r="AB49" s="351">
        <f>VLOOKUP(Y49,'登録'!$AE$2:$AH$55,4,FALSE)</f>
        <v>120</v>
      </c>
      <c r="AC49" s="298">
        <f>'★個人成績表★'!K33</f>
        <v>0</v>
      </c>
      <c r="AD49" s="295">
        <f>'★個人成績表★'!L33</f>
        <v>111</v>
      </c>
      <c r="AE49" s="295">
        <f>'★個人成績表★'!I33</f>
        <v>64</v>
      </c>
      <c r="AF49" s="294"/>
      <c r="AG49" s="295">
        <f>'★個人成績表★'!M33</f>
        <v>22</v>
      </c>
      <c r="AH49" s="295">
        <f>'★個人成績表★'!J33</f>
        <v>78</v>
      </c>
      <c r="AI49" s="280">
        <f t="shared" si="95"/>
        <v>0</v>
      </c>
      <c r="AJ49" s="278">
        <f t="shared" si="96"/>
        <v>5</v>
      </c>
      <c r="AK49" s="299">
        <f t="shared" si="97"/>
        <v>275</v>
      </c>
      <c r="AL49" s="299">
        <f>AK49*'登録'!$I$8/'★対戦リーグ表★'!AB49</f>
        <v>275</v>
      </c>
      <c r="AM49" s="421">
        <f t="shared" si="98"/>
      </c>
      <c r="AN49" s="415">
        <f t="shared" si="99"/>
        <v>275</v>
      </c>
      <c r="AO49" s="279">
        <f>AI49*100000+AL49</f>
        <v>275</v>
      </c>
      <c r="AP49" s="351">
        <f>IF(COUNTBLANK(AC49:AH49)=6,"",RANK(AO49,AO46:AO51))</f>
        <v>6</v>
      </c>
      <c r="AQ49" s="455">
        <f>IF('結果入力表'!H168="","",'結果入力表'!H168)</f>
      </c>
      <c r="AR49" s="457">
        <f>IF('結果入力表'!E182="","",'結果入力表'!E182)</f>
      </c>
      <c r="AS49" s="457">
        <f>IF('結果入力表'!H112="","",'結果入力表'!H112)</f>
      </c>
      <c r="AT49" s="456"/>
      <c r="AU49" s="457">
        <f>IF('結果入力表'!E196="","",'結果入力表'!E196)</f>
      </c>
      <c r="AV49" s="458">
        <f>IF('結果入力表'!H140="","",'結果入力表'!H140)</f>
      </c>
      <c r="AX49" s="361">
        <f t="shared" si="100"/>
        <v>17</v>
      </c>
      <c r="AZ49" s="361" t="str">
        <f t="shared" si="101"/>
        <v>長谷川 進</v>
      </c>
      <c r="BA49" s="361" t="str">
        <f t="shared" si="32"/>
        <v>NRC</v>
      </c>
      <c r="BB49" s="364">
        <f>IF(LEFT(S49,1)="A","A",IF(LEFT(S49,1)="B","B",S49))</f>
      </c>
      <c r="BC49" s="364">
        <f>IF(LEFT(T49,1)="A","A",IF(LEFT(T49,1)="B","B",T49))</f>
      </c>
      <c r="BD49" s="364">
        <f>IF(LEFT(U49,1)="A","A",IF(LEFT(U49,1)="B","B",U49))</f>
      </c>
      <c r="BE49" s="364">
        <f>IF(LEFT(W49,1)="A","A",IF(LEFT(W49,1)="B","B",W49))</f>
      </c>
      <c r="BF49" s="364">
        <f>IF(LEFT(X49,1)="A","A",IF(LEFT(X49,1)="B","B",X49))</f>
      </c>
      <c r="BG49" s="364">
        <f>IF(LEFT(AQ25,1)="A","A",IF(LEFT(AQ25,1)="B","B",AQ25))</f>
      </c>
      <c r="BH49" s="364">
        <f>IF(LEFT(AR25,1)="A","A",IF(LEFT(AR25,1)="B","B",AR25))</f>
      </c>
      <c r="BI49" s="364">
        <f>IF(LEFT(AS25,1)="A","A",IF(LEFT(AS25,1)="B","B",AS25))</f>
      </c>
      <c r="BJ49" s="364">
        <f>IF(LEFT(AU25,1)="A","A",IF(LEFT(AU25,1)="B","B",AU25))</f>
      </c>
      <c r="BK49" s="364">
        <f>IF(LEFT(AV25,1)="A","A",IF(LEFT(AV25,1)="B","B",AV25))</f>
      </c>
      <c r="BL49" s="361">
        <f>IF(BM49&gt;0,"A"&amp;'登録'!$I$8,IF(BN49&gt;0,"B"&amp;'登録'!$I$8,BO49))</f>
        <v>0</v>
      </c>
      <c r="BM49" s="361">
        <f t="shared" si="102"/>
        <v>0</v>
      </c>
      <c r="BN49" s="361">
        <f t="shared" si="102"/>
        <v>0</v>
      </c>
      <c r="BO49" s="361">
        <f t="shared" si="34"/>
        <v>0</v>
      </c>
      <c r="BP49" s="361">
        <f t="shared" si="103"/>
        <v>0</v>
      </c>
      <c r="BQ49" s="361"/>
      <c r="BR49" s="361"/>
    </row>
    <row r="50" spans="1:70" s="274" customFormat="1" ht="15" customHeight="1">
      <c r="A50" s="275">
        <v>5</v>
      </c>
      <c r="B50" s="27" t="str">
        <f t="shared" si="88"/>
        <v>SBC</v>
      </c>
      <c r="C50" s="368" t="str">
        <f>VLOOKUP(VALUE(A50&amp;B45),'登録'!$AE$2:$AH$55,3,FALSE)</f>
        <v>須藤 浩章</v>
      </c>
      <c r="D50" s="366">
        <f>VLOOKUP(VALUE(A50&amp;B45),'登録'!$AE$2:$AH$55,4,FALSE)</f>
        <v>120</v>
      </c>
      <c r="E50" s="298">
        <f>'★個人成績表★'!E46</f>
        <v>0</v>
      </c>
      <c r="F50" s="295">
        <f>'★個人成績表★'!D46</f>
        <v>106</v>
      </c>
      <c r="G50" s="295" t="str">
        <f>'★個人成績表★'!F46</f>
        <v>w</v>
      </c>
      <c r="H50" s="295">
        <f>'★個人成績表★'!H46</f>
        <v>76</v>
      </c>
      <c r="I50" s="294"/>
      <c r="J50" s="295" t="str">
        <f>'★個人成績表★'!G46</f>
        <v>w</v>
      </c>
      <c r="K50" s="281">
        <f t="shared" si="89"/>
        <v>2</v>
      </c>
      <c r="L50" s="282">
        <f t="shared" si="90"/>
        <v>3</v>
      </c>
      <c r="M50" s="283">
        <f t="shared" si="91"/>
        <v>422</v>
      </c>
      <c r="N50" s="283">
        <f>M50*'登録'!$I$8/'★対戦リーグ表★'!D50</f>
        <v>422</v>
      </c>
      <c r="O50" s="422">
        <f t="shared" si="92"/>
      </c>
      <c r="P50" s="415">
        <f t="shared" si="93"/>
        <v>422</v>
      </c>
      <c r="Q50" s="279">
        <f>K50*100000+N50</f>
        <v>200422</v>
      </c>
      <c r="R50" s="351">
        <f>IF(COUNTBLANK(E50:J50)=6,"",RANK(Q50,Q46:Q51))</f>
        <v>4</v>
      </c>
      <c r="S50" s="455">
        <f>IF('結果入力表'!H42="","",'結果入力表'!H42)</f>
      </c>
      <c r="T50" s="457">
        <f>IF('結果入力表'!H14="","",'結果入力表'!H14)</f>
      </c>
      <c r="U50" s="457">
        <f>IF('結果入力表'!E56="","",'結果入力表'!E56)</f>
      </c>
      <c r="V50" s="457">
        <f>IF('結果入力表'!H91="","",'結果入力表'!H91)</f>
      </c>
      <c r="W50" s="456"/>
      <c r="X50" s="458">
        <f>IF('結果入力表'!E70="","",'結果入力表'!E70)</f>
      </c>
      <c r="Y50" s="289">
        <v>53</v>
      </c>
      <c r="Z50" s="27" t="str">
        <f t="shared" si="94"/>
        <v>SBC</v>
      </c>
      <c r="AA50" s="368" t="str">
        <f>VLOOKUP(Y50,'登録'!$AE$2:$AH$55,3,FALSE)</f>
        <v>大橋 義治</v>
      </c>
      <c r="AB50" s="366">
        <f>VLOOKUP(Y50,'登録'!$AE$2:$AH$55,4,FALSE)</f>
        <v>120</v>
      </c>
      <c r="AC50" s="298" t="str">
        <f>'★個人成績表★'!J43</f>
        <v>w</v>
      </c>
      <c r="AD50" s="295" t="str">
        <f>'★個人成績表★'!I43</f>
        <v>w</v>
      </c>
      <c r="AE50" s="295" t="str">
        <f>'★個人成績表★'!K43</f>
        <v>w</v>
      </c>
      <c r="AF50" s="295" t="str">
        <f>'★個人成績表★'!M43</f>
        <v>w</v>
      </c>
      <c r="AG50" s="294"/>
      <c r="AH50" s="295" t="str">
        <f>'★個人成績表★'!L43</f>
        <v>w</v>
      </c>
      <c r="AI50" s="281">
        <f t="shared" si="95"/>
        <v>5</v>
      </c>
      <c r="AJ50" s="282">
        <f t="shared" si="96"/>
        <v>0</v>
      </c>
      <c r="AK50" s="283">
        <f t="shared" si="97"/>
        <v>600</v>
      </c>
      <c r="AL50" s="283">
        <f>AK50*'登録'!$I$8/'★対戦リーグ表★'!AB50</f>
        <v>600</v>
      </c>
      <c r="AM50" s="422">
        <f t="shared" si="98"/>
      </c>
      <c r="AN50" s="415">
        <f t="shared" si="99"/>
        <v>600</v>
      </c>
      <c r="AO50" s="279">
        <f>AI50*100000+AL50</f>
        <v>500600</v>
      </c>
      <c r="AP50" s="351">
        <f>IF(COUNTBLANK(AC50:AH50)=6,"",RANK(AO50,AO46:AO51))</f>
        <v>1</v>
      </c>
      <c r="AQ50" s="455">
        <f>IF('結果入力表'!H147="","",'結果入力表'!H147)</f>
      </c>
      <c r="AR50" s="457">
        <f>IF('結果入力表'!H119="","",'結果入力表'!H119)</f>
      </c>
      <c r="AS50" s="457">
        <f>IF('結果入力表'!E161="","",'結果入力表'!E161)</f>
      </c>
      <c r="AT50" s="457">
        <f>IF('結果入力表'!H196="","",'結果入力表'!H196)</f>
      </c>
      <c r="AU50" s="456"/>
      <c r="AV50" s="458">
        <f>IF('結果入力表'!E175="","",'結果入力表'!E175)</f>
      </c>
      <c r="AX50" s="361">
        <f t="shared" si="100"/>
        <v>17</v>
      </c>
      <c r="AZ50" s="361" t="str">
        <f t="shared" si="101"/>
        <v>須藤 浩章</v>
      </c>
      <c r="BA50" s="361" t="str">
        <f t="shared" si="32"/>
        <v>SBC</v>
      </c>
      <c r="BB50" s="364">
        <f>IF(LEFT(S50,1)="A","A",IF(LEFT(S50,1)="B","B",S50))</f>
      </c>
      <c r="BC50" s="364">
        <f>IF(LEFT(T50,1)="A","A",IF(LEFT(T50,1)="B","B",T50))</f>
      </c>
      <c r="BD50" s="364">
        <f>IF(LEFT(U50,1)="A","A",IF(LEFT(U50,1)="B","B",U50))</f>
      </c>
      <c r="BE50" s="364">
        <f>IF(LEFT(V50,1)="A","A",IF(LEFT(V50,1)="B","B",V50))</f>
      </c>
      <c r="BF50" s="364">
        <f>IF(LEFT(X50,1)="A","A",IF(LEFT(X50,1)="B","B",X50))</f>
      </c>
      <c r="BG50" s="364">
        <f>IF(LEFT(AQ18,1)="A","A",IF(LEFT(AQ18,1)="B","B",AQ18))</f>
      </c>
      <c r="BH50" s="364">
        <f>IF(LEFT(AR18,1)="A","A",IF(LEFT(AR18,1)="B","B",AR18))</f>
      </c>
      <c r="BI50" s="364">
        <f>IF(LEFT(AS18,1)="A","A",IF(LEFT(AS18,1)="B","B",AS18))</f>
      </c>
      <c r="BJ50" s="364">
        <f>IF(LEFT(AT18,1)="A","A",IF(LEFT(AT18,1)="B","B",AT18))</f>
      </c>
      <c r="BK50" s="364">
        <f>IF(LEFT(AV18,1)="A","A",IF(LEFT(AV18,1)="B","B",AV18))</f>
      </c>
      <c r="BL50" s="361">
        <f>IF(BM50&gt;0,"A"&amp;'登録'!$I$8,IF(BN50&gt;0,"B"&amp;'登録'!$I$8,BO50))</f>
        <v>0</v>
      </c>
      <c r="BM50" s="361">
        <f t="shared" si="102"/>
        <v>0</v>
      </c>
      <c r="BN50" s="361">
        <f t="shared" si="102"/>
        <v>0</v>
      </c>
      <c r="BO50" s="361">
        <f t="shared" si="34"/>
        <v>0</v>
      </c>
      <c r="BP50" s="361">
        <f t="shared" si="103"/>
        <v>0</v>
      </c>
      <c r="BQ50" s="361"/>
      <c r="BR50" s="361"/>
    </row>
    <row r="51" spans="1:71" s="274" customFormat="1" ht="15" customHeight="1" thickBot="1">
      <c r="A51" s="275">
        <v>6</v>
      </c>
      <c r="B51" s="355" t="str">
        <f t="shared" si="88"/>
        <v>WRC</v>
      </c>
      <c r="C51" s="369" t="str">
        <f>IF(B51="","",VLOOKUP(VALUE(A51&amp;B45),'登録'!$AE$2:$AH$55,3,FALSE))</f>
        <v>中本 雅大</v>
      </c>
      <c r="D51" s="352">
        <f>IF(B51="","",VLOOKUP(VALUE(A51&amp;B45),'登録'!$AE$2:$AH$55,4,FALSE))</f>
        <v>120</v>
      </c>
      <c r="E51" s="304">
        <f>'★個人成績表★'!D55</f>
        <v>74</v>
      </c>
      <c r="F51" s="296" t="str">
        <f>'★個人成績表★'!F55</f>
        <v>w</v>
      </c>
      <c r="G51" s="296">
        <f>'★個人成績表★'!H55</f>
        <v>33</v>
      </c>
      <c r="H51" s="296" t="str">
        <f>'★個人成績表★'!E55</f>
        <v>w</v>
      </c>
      <c r="I51" s="296">
        <f>'★個人成績表★'!G55</f>
        <v>32</v>
      </c>
      <c r="J51" s="297"/>
      <c r="K51" s="284">
        <f t="shared" si="89"/>
        <v>2</v>
      </c>
      <c r="L51" s="285">
        <f t="shared" si="90"/>
        <v>3</v>
      </c>
      <c r="M51" s="293">
        <f t="shared" si="91"/>
        <v>379</v>
      </c>
      <c r="N51" s="293">
        <f>M51*'登録'!$I$8/'★対戦リーグ表★'!D51</f>
        <v>379</v>
      </c>
      <c r="O51" s="423">
        <f t="shared" si="92"/>
      </c>
      <c r="P51" s="416">
        <f t="shared" si="93"/>
        <v>379</v>
      </c>
      <c r="Q51" s="286">
        <f>IF(D51="","",K51*100000+N51)</f>
        <v>200379</v>
      </c>
      <c r="R51" s="352">
        <f>IF(COUNTBLANK(E51:J51)=6,"",RANK(Q51,Q46:Q51))</f>
        <v>5</v>
      </c>
      <c r="S51" s="459">
        <f>IF('結果入力表'!H21="","",'結果入力表'!H21)</f>
      </c>
      <c r="T51" s="460">
        <f>IF('結果入力表'!E49="","",'結果入力表'!E49)</f>
      </c>
      <c r="U51" s="460">
        <f>IF('結果入力表'!H98="","",'結果入力表'!H98)</f>
      </c>
      <c r="V51" s="460">
        <f>IF('結果入力表'!E35="","",'結果入力表'!E35)</f>
      </c>
      <c r="W51" s="460">
        <f>IF('結果入力表'!H70="","",'結果入力表'!H70)</f>
      </c>
      <c r="X51" s="461"/>
      <c r="Y51" s="289">
        <v>64</v>
      </c>
      <c r="Z51" s="355" t="str">
        <f t="shared" si="94"/>
        <v>WRC</v>
      </c>
      <c r="AA51" s="369" t="str">
        <f>IF(Z51="","",VLOOKUP(Y51,'登録'!$AE$2:$AH$55,3,FALSE))</f>
        <v>芝先 泰生</v>
      </c>
      <c r="AB51" s="352">
        <f>IF(Z51="","",VLOOKUP(Y51,'登録'!$AE$2:$AH$55,4,FALSE))</f>
        <v>120</v>
      </c>
      <c r="AC51" s="304">
        <f>'★個人成績表★'!I53</f>
        <v>110</v>
      </c>
      <c r="AD51" s="296">
        <f>'★個人成績表★'!K53</f>
        <v>60</v>
      </c>
      <c r="AE51" s="296">
        <f>'★個人成績表★'!M53</f>
        <v>108</v>
      </c>
      <c r="AF51" s="296" t="str">
        <f>'★個人成績表★'!J53</f>
        <v>w</v>
      </c>
      <c r="AG51" s="296">
        <f>'★個人成績表★'!L53</f>
        <v>41</v>
      </c>
      <c r="AH51" s="297"/>
      <c r="AI51" s="284">
        <f t="shared" si="95"/>
        <v>1</v>
      </c>
      <c r="AJ51" s="285">
        <f t="shared" si="96"/>
        <v>4</v>
      </c>
      <c r="AK51" s="293">
        <f t="shared" si="97"/>
        <v>439</v>
      </c>
      <c r="AL51" s="293">
        <f>AK51*'登録'!$I$8/'★対戦リーグ表★'!AB51</f>
        <v>439</v>
      </c>
      <c r="AM51" s="423">
        <f t="shared" si="98"/>
      </c>
      <c r="AN51" s="416">
        <f t="shared" si="99"/>
        <v>439</v>
      </c>
      <c r="AO51" s="286">
        <f>IF(AB51="","",AI51*100000+AL51)</f>
        <v>100439</v>
      </c>
      <c r="AP51" s="352">
        <f>IF(COUNTBLANK(AC51:AH51)=6,"",RANK(AO51,AO46:AO51))</f>
        <v>5</v>
      </c>
      <c r="AQ51" s="459">
        <f>IF('結果入力表'!H126="","",'結果入力表'!H126)</f>
        <v>105</v>
      </c>
      <c r="AR51" s="460">
        <f>IF('結果入力表'!E154="","",'結果入力表'!E154)</f>
      </c>
      <c r="AS51" s="460">
        <f>IF('結果入力表'!H203="","",'結果入力表'!H203)</f>
      </c>
      <c r="AT51" s="460">
        <f>IF('結果入力表'!E140="","",'結果入力表'!E140)</f>
      </c>
      <c r="AU51" s="460">
        <f>IF('結果入力表'!H175="","",'結果入力表'!H175)</f>
      </c>
      <c r="AV51" s="461"/>
      <c r="AX51" s="361">
        <f t="shared" si="100"/>
        <v>17</v>
      </c>
      <c r="AZ51" s="361" t="str">
        <f t="shared" si="101"/>
        <v>中本 雅大</v>
      </c>
      <c r="BA51" s="361" t="str">
        <f t="shared" si="32"/>
        <v>WRC</v>
      </c>
      <c r="BB51" s="364">
        <f>IF(LEFT(S51,1)="A","A",IF(LEFT(S51,1)="B","B",S51))</f>
      </c>
      <c r="BC51" s="364">
        <f>IF(LEFT(T51,1)="A","A",IF(LEFT(T51,1)="B","B",T51))</f>
      </c>
      <c r="BD51" s="364">
        <f>IF(LEFT(U51,1)="A","A",IF(LEFT(U51,1)="B","B",U51))</f>
      </c>
      <c r="BE51" s="364">
        <f>IF(LEFT(V51,1)="A","A",IF(LEFT(V51,1)="B","B",V51))</f>
      </c>
      <c r="BF51" s="364">
        <f>IF(LEFT(W51,1)="A","A",IF(LEFT(W51,1)="B","B",W51))</f>
      </c>
      <c r="BG51" s="364">
        <f>IF(LEFT(AQ11,1)="A","A",IF(LEFT(AQ11,1)="B","B",AQ11))</f>
      </c>
      <c r="BH51" s="364">
        <f>IF(LEFT(AR11,1)="A","A",IF(LEFT(AR11,1)="B","B",AR11))</f>
      </c>
      <c r="BI51" s="364">
        <f>IF(LEFT(AS11,1)="A","A",IF(LEFT(AS11,1)="B","B",AS11))</f>
      </c>
      <c r="BJ51" s="364">
        <f>IF(LEFT(AT11,1)="A","A",IF(LEFT(AT11,1)="B","B",AT11))</f>
      </c>
      <c r="BK51" s="364">
        <f>IF(LEFT(AU11,1)="A","A",IF(LEFT(AU11,1)="B","B",AU11))</f>
      </c>
      <c r="BL51" s="361">
        <f>IF(BM51&gt;0,"A"&amp;'登録'!$I$8,IF(BN51&gt;0,"B"&amp;'登録'!$I$8,BO51))</f>
        <v>0</v>
      </c>
      <c r="BM51" s="361">
        <f t="shared" si="102"/>
        <v>0</v>
      </c>
      <c r="BN51" s="361">
        <f t="shared" si="102"/>
        <v>0</v>
      </c>
      <c r="BO51" s="361">
        <f t="shared" si="34"/>
        <v>0</v>
      </c>
      <c r="BP51" s="361">
        <f t="shared" si="103"/>
        <v>0</v>
      </c>
      <c r="BQ51" s="361"/>
      <c r="BR51" s="361" t="str">
        <f>'★個人成績表★'!B50</f>
        <v>末岡　修</v>
      </c>
      <c r="BS51" s="361">
        <f aca="true" t="shared" si="104" ref="BS51:BS57">VLOOKUP(BR51,$AZ$6:$BL$59,13,FALSE)</f>
        <v>0</v>
      </c>
    </row>
    <row r="52" spans="2:71" s="274" customFormat="1" ht="15" customHeight="1" thickBot="1"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8"/>
      <c r="N52" s="288"/>
      <c r="O52" s="287"/>
      <c r="P52" s="417"/>
      <c r="Q52" s="288"/>
      <c r="R52" s="287"/>
      <c r="S52" s="462"/>
      <c r="T52" s="462"/>
      <c r="U52" s="462"/>
      <c r="V52" s="462"/>
      <c r="W52" s="462"/>
      <c r="X52" s="462"/>
      <c r="Y52" s="275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8"/>
      <c r="AL52" s="288"/>
      <c r="AM52" s="287"/>
      <c r="AN52" s="417"/>
      <c r="AO52" s="288"/>
      <c r="AP52" s="287"/>
      <c r="AQ52" s="462"/>
      <c r="AR52" s="462"/>
      <c r="AS52" s="462"/>
      <c r="AT52" s="462"/>
      <c r="AU52" s="462"/>
      <c r="AV52" s="462"/>
      <c r="AX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>
        <f>IF(BM52&gt;0,"A"&amp;'登録'!$I$8,IF(BN52&gt;0,"B"&amp;'登録'!$I$8,BO52))</f>
        <v>0</v>
      </c>
      <c r="BM52" s="361"/>
      <c r="BN52" s="361"/>
      <c r="BO52" s="361"/>
      <c r="BP52" s="361"/>
      <c r="BQ52" s="361"/>
      <c r="BR52" s="361" t="str">
        <f>'★個人成績表★'!B51</f>
        <v>杉本 博章</v>
      </c>
      <c r="BS52" s="361">
        <f t="shared" si="104"/>
        <v>0</v>
      </c>
    </row>
    <row r="53" spans="2:71" s="274" customFormat="1" ht="15" customHeight="1" thickBot="1">
      <c r="B53" s="305">
        <v>7</v>
      </c>
      <c r="C53" s="300" t="s">
        <v>89</v>
      </c>
      <c r="D53" s="419" t="s">
        <v>124</v>
      </c>
      <c r="E53" s="356" t="str">
        <f>B54</f>
        <v>KRC</v>
      </c>
      <c r="F53" s="357" t="str">
        <f>B55</f>
        <v>HRC</v>
      </c>
      <c r="G53" s="357" t="str">
        <f>B56</f>
        <v>ORC</v>
      </c>
      <c r="H53" s="357" t="str">
        <f>B57</f>
        <v>NRC</v>
      </c>
      <c r="I53" s="357" t="str">
        <f>B58</f>
        <v>SBC</v>
      </c>
      <c r="J53" s="358" t="str">
        <f>B59</f>
        <v>WRC</v>
      </c>
      <c r="K53" s="347" t="s">
        <v>93</v>
      </c>
      <c r="L53" s="290" t="s">
        <v>94</v>
      </c>
      <c r="M53" s="301" t="s">
        <v>95</v>
      </c>
      <c r="N53" s="301" t="s">
        <v>99</v>
      </c>
      <c r="O53" s="410" t="s">
        <v>28</v>
      </c>
      <c r="P53" s="290"/>
      <c r="Q53" s="291" t="s">
        <v>96</v>
      </c>
      <c r="R53" s="348" t="s">
        <v>97</v>
      </c>
      <c r="S53" s="449"/>
      <c r="T53" s="450"/>
      <c r="U53" s="450"/>
      <c r="V53" s="450"/>
      <c r="W53" s="451"/>
      <c r="X53" s="451"/>
      <c r="Y53" s="275"/>
      <c r="Z53" s="305">
        <v>7</v>
      </c>
      <c r="AA53" s="300" t="s">
        <v>89</v>
      </c>
      <c r="AB53" s="419" t="s">
        <v>119</v>
      </c>
      <c r="AC53" s="356" t="str">
        <f>$B$6</f>
        <v>KRC</v>
      </c>
      <c r="AD53" s="357" t="str">
        <f>$B$7</f>
        <v>HRC</v>
      </c>
      <c r="AE53" s="357" t="str">
        <f>$B$8</f>
        <v>ORC</v>
      </c>
      <c r="AF53" s="357" t="str">
        <f>$B$9</f>
        <v>NRC</v>
      </c>
      <c r="AG53" s="357" t="str">
        <f>$B$10</f>
        <v>SBC</v>
      </c>
      <c r="AH53" s="358" t="str">
        <f>$B$11</f>
        <v>WRC</v>
      </c>
      <c r="AI53" s="347" t="s">
        <v>93</v>
      </c>
      <c r="AJ53" s="290" t="s">
        <v>94</v>
      </c>
      <c r="AK53" s="301" t="s">
        <v>95</v>
      </c>
      <c r="AL53" s="301" t="s">
        <v>99</v>
      </c>
      <c r="AM53" s="410" t="s">
        <v>28</v>
      </c>
      <c r="AN53" s="290"/>
      <c r="AO53" s="291" t="s">
        <v>96</v>
      </c>
      <c r="AP53" s="348" t="s">
        <v>97</v>
      </c>
      <c r="AQ53" s="449"/>
      <c r="AR53" s="450"/>
      <c r="AS53" s="450"/>
      <c r="AT53" s="450"/>
      <c r="AU53" s="451"/>
      <c r="AV53" s="451"/>
      <c r="AX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>
        <f>IF(BM53&gt;0,"A"&amp;'登録'!$I$8,IF(BN53&gt;0,"B"&amp;'登録'!$I$8,BO53))</f>
        <v>0</v>
      </c>
      <c r="BM53" s="361"/>
      <c r="BN53" s="361"/>
      <c r="BO53" s="361"/>
      <c r="BP53" s="361"/>
      <c r="BQ53" s="361"/>
      <c r="BR53" s="361" t="str">
        <f>'★個人成績表★'!B52</f>
        <v>丹次 力良</v>
      </c>
      <c r="BS53" s="361">
        <f t="shared" si="104"/>
        <v>0</v>
      </c>
    </row>
    <row r="54" spans="1:71" s="274" customFormat="1" ht="15" customHeight="1" thickTop="1">
      <c r="A54" s="275">
        <v>1</v>
      </c>
      <c r="B54" s="28" t="str">
        <f aca="true" t="shared" si="105" ref="B54:B59">B46</f>
        <v>KRC</v>
      </c>
      <c r="C54" s="367" t="str">
        <f>VLOOKUP(VALUE(A54&amp;B53),'登録'!$AE$2:$AH$55,3,FALSE)</f>
        <v>森田由佳里</v>
      </c>
      <c r="D54" s="350">
        <f>VLOOKUP(VALUE(A54&amp;B53),'登録'!$AE$2:$AH$55,4,FALSE)</f>
        <v>100</v>
      </c>
      <c r="E54" s="306"/>
      <c r="F54" s="302" t="str">
        <f>'★個人成績表★'!H11</f>
        <v>w</v>
      </c>
      <c r="G54" s="302" t="str">
        <f>'★個人成績表★'!G11</f>
        <v>w</v>
      </c>
      <c r="H54" s="302" t="str">
        <f>'★個人成績表★'!F11</f>
        <v>w</v>
      </c>
      <c r="I54" s="302" t="str">
        <f>'★個人成績表★'!E11</f>
        <v>w</v>
      </c>
      <c r="J54" s="302" t="str">
        <f>'★個人成績表★'!D11</f>
        <v>w</v>
      </c>
      <c r="K54" s="349">
        <f aca="true" t="shared" si="106" ref="K54:K59">IF(COUNTBLANK(E54:J54)=6,"",COUNTIF(E54:J54,"w"))</f>
        <v>5</v>
      </c>
      <c r="L54" s="276">
        <f aca="true" t="shared" si="107" ref="L54:L59">IF(COUNTBLANK(E54:J54)=6,"",6-COUNTBLANK(E54:J54)-K54)</f>
        <v>0</v>
      </c>
      <c r="M54" s="303">
        <f aca="true" t="shared" si="108" ref="M54:M59">K54*D54+SUM(E54:J54)</f>
        <v>500</v>
      </c>
      <c r="N54" s="303">
        <f>M54*'登録'!$I$8/'★対戦リーグ表★'!D54</f>
        <v>600</v>
      </c>
      <c r="O54" s="420" t="str">
        <f aca="true" t="shared" si="109" ref="O54:O59">IF(ISERROR(N54),"",IF(M54=N54,"","*"))</f>
        <v>*</v>
      </c>
      <c r="P54" s="414">
        <f aca="true" t="shared" si="110" ref="P54:P59">IF(COUNTBLANK(E54:J54)=6,"",N54)</f>
        <v>600</v>
      </c>
      <c r="Q54" s="277">
        <f>K54*100000+N54</f>
        <v>500600</v>
      </c>
      <c r="R54" s="350">
        <f>IF(COUNTBLANK(E54:J54)=6,"",RANK(Q54,Q54:Q59))</f>
        <v>1</v>
      </c>
      <c r="S54" s="452"/>
      <c r="T54" s="453">
        <f>IF('結果入力表'!E106="","",'結果入力表'!E106)</f>
      </c>
      <c r="U54" s="453">
        <f>IF('結果入力表'!E85="","",'結果入力表'!E85)</f>
      </c>
      <c r="V54" s="453">
        <f>IF('結果入力表'!E64="","",'結果入力表'!E64)</f>
      </c>
      <c r="W54" s="453">
        <f>IF('結果入力表'!E43="","",'結果入力表'!E43)</f>
      </c>
      <c r="X54" s="454">
        <f>IF('結果入力表'!E22="","",'結果入力表'!E22)</f>
      </c>
      <c r="Y54" s="275">
        <v>17</v>
      </c>
      <c r="Z54" s="28" t="str">
        <f aca="true" t="shared" si="111" ref="Z54:Z59">Z46</f>
        <v>KRC</v>
      </c>
      <c r="AA54" s="367" t="str">
        <f>VLOOKUP(Y54,'登録'!$AE$2:$AH$55,3,FALSE)</f>
        <v>森田由佳里</v>
      </c>
      <c r="AB54" s="350">
        <f>VLOOKUP(Y54,'登録'!$AE$2:$AH$55,4,FALSE)</f>
        <v>100</v>
      </c>
      <c r="AC54" s="306"/>
      <c r="AD54" s="302">
        <f>'★個人成績表★'!M11</f>
        <v>86</v>
      </c>
      <c r="AE54" s="302">
        <f>'★個人成績表★'!L11</f>
        <v>29</v>
      </c>
      <c r="AF54" s="302">
        <f>'★個人成績表★'!K11</f>
        <v>6</v>
      </c>
      <c r="AG54" s="302">
        <f>'★個人成績表★'!J11</f>
        <v>95</v>
      </c>
      <c r="AH54" s="302" t="str">
        <f>'★個人成績表★'!I11</f>
        <v>w</v>
      </c>
      <c r="AI54" s="349">
        <f aca="true" t="shared" si="112" ref="AI54:AI59">IF(COUNTBLANK(AC54:AH54)=6,"",COUNTIF(AC54:AH54,"w"))</f>
        <v>1</v>
      </c>
      <c r="AJ54" s="276">
        <f aca="true" t="shared" si="113" ref="AJ54:AJ59">IF(COUNTBLANK(AC54:AH54)=6,"",6-COUNTBLANK(AC54:AH54)-AI54)</f>
        <v>4</v>
      </c>
      <c r="AK54" s="303">
        <f aca="true" t="shared" si="114" ref="AK54:AK59">AI54*AB54+SUM(AC54:AH54)</f>
        <v>316</v>
      </c>
      <c r="AL54" s="303">
        <f>AK54*'登録'!$I$8/'★対戦リーグ表★'!AB54</f>
        <v>379.2</v>
      </c>
      <c r="AM54" s="420" t="str">
        <f aca="true" t="shared" si="115" ref="AM54:AM59">IF(ISERROR(AL54),"",IF(AK54=AL54,"","*"))</f>
        <v>*</v>
      </c>
      <c r="AN54" s="414">
        <f aca="true" t="shared" si="116" ref="AN54:AN59">IF(COUNTBLANK(AC54:AH54)=6,"",AL54)</f>
        <v>379.2</v>
      </c>
      <c r="AO54" s="277">
        <f>AI54*100000+AL54</f>
        <v>100379.2</v>
      </c>
      <c r="AP54" s="350">
        <f>IF(COUNTBLANK(AC54:AH54)=6,"",RANK(AO54,AO54:AO59))</f>
        <v>5</v>
      </c>
      <c r="AQ54" s="452"/>
      <c r="AR54" s="453">
        <f>IF('結果入力表'!E211="","",'結果入力表'!E211)</f>
      </c>
      <c r="AS54" s="453">
        <f>IF('結果入力表'!E190="","",'結果入力表'!E190)</f>
      </c>
      <c r="AT54" s="453">
        <f>IF('結果入力表'!E169="","",'結果入力表'!E169)</f>
      </c>
      <c r="AU54" s="453">
        <f>IF('結果入力表'!E148="","",'結果入力表'!E148)</f>
      </c>
      <c r="AV54" s="454">
        <f>IF('結果入力表'!E127="","",'結果入力表'!E127)</f>
      </c>
      <c r="AX54" s="361">
        <f aca="true" t="shared" si="117" ref="AX54:AX59">RANK(BP54,$BP$6:$BP$59)</f>
        <v>17</v>
      </c>
      <c r="AZ54" s="361" t="str">
        <f aca="true" t="shared" si="118" ref="AZ54:AZ59">C54</f>
        <v>森田由佳里</v>
      </c>
      <c r="BA54" s="361" t="str">
        <f>B54</f>
        <v>KRC</v>
      </c>
      <c r="BB54" s="364">
        <f>IF(LEFT(T54,1)="A","A",IF(LEFT(T54,1)="B","B",T54))</f>
      </c>
      <c r="BC54" s="364">
        <f>IF(LEFT(U54,1)="A","A",IF(LEFT(U54,1)="B","B",U54))</f>
      </c>
      <c r="BD54" s="364">
        <f>IF(LEFT(V54,1)="A","A",IF(LEFT(V54,1)="B","B",V54))</f>
      </c>
      <c r="BE54" s="364">
        <f>IF(LEFT(W54,1)="A","A",IF(LEFT(W54,1)="B","B",W54))</f>
      </c>
      <c r="BF54" s="364">
        <f>IF(LEFT(X54,1)="A","A",IF(LEFT(X54,1)="B","B",X54))</f>
      </c>
      <c r="BG54" s="364">
        <f>IF(LEFT(AR54,1)="A","A",IF(LEFT(AR54,1)="B","B",AR54))</f>
      </c>
      <c r="BH54" s="364">
        <f>IF(LEFT(AS54,1)="A","A",IF(LEFT(AS54,1)="B","B",AS54))</f>
      </c>
      <c r="BI54" s="364">
        <f>IF(LEFT(AT54,1)="A","A",IF(LEFT(AT54,1)="B","B",AT54))</f>
      </c>
      <c r="BJ54" s="364">
        <f>IF(LEFT(AU54,1)="A","A",IF(LEFT(AU54,1)="B","B",AU54))</f>
      </c>
      <c r="BK54" s="364">
        <f>IF(LEFT(AV54,1)="A","A",IF(LEFT(AV54,1)="B","B",AV54))</f>
      </c>
      <c r="BL54" s="361">
        <f>IF(BM54&gt;0,"A"&amp;'登録'!$I$8,IF(BN54&gt;0,"B"&amp;'登録'!$I$8,BO54))</f>
        <v>0</v>
      </c>
      <c r="BM54" s="361">
        <f aca="true" t="shared" si="119" ref="BM54:BN59">COUNTIF($BB54:$BK54,BM$5)</f>
        <v>0</v>
      </c>
      <c r="BN54" s="361">
        <f t="shared" si="119"/>
        <v>0</v>
      </c>
      <c r="BO54" s="361">
        <f>MAX(BB54:BK54)</f>
        <v>0</v>
      </c>
      <c r="BP54" s="361">
        <f aca="true" t="shared" si="120" ref="BP54:BP59">BM54*10000+BN54*1000+BO54</f>
        <v>0</v>
      </c>
      <c r="BQ54" s="361"/>
      <c r="BR54" s="361" t="str">
        <f>'★個人成績表★'!B53</f>
        <v>芝先 泰生</v>
      </c>
      <c r="BS54" s="361">
        <f t="shared" si="104"/>
        <v>105</v>
      </c>
    </row>
    <row r="55" spans="1:71" s="274" customFormat="1" ht="15" customHeight="1">
      <c r="A55" s="275">
        <v>2</v>
      </c>
      <c r="B55" s="27" t="str">
        <f t="shared" si="105"/>
        <v>HRC</v>
      </c>
      <c r="C55" s="368" t="str">
        <f>VLOOKUP(VALUE(A55&amp;B53),'登録'!$AE$2:$AH$55,3,FALSE)</f>
        <v>栃下 恭子</v>
      </c>
      <c r="D55" s="351">
        <f>VLOOKUP(VALUE(A55&amp;B53),'登録'!$AE$2:$AH$55,4,FALSE)</f>
        <v>100</v>
      </c>
      <c r="E55" s="298">
        <f>'★個人成績表★'!H20</f>
        <v>18</v>
      </c>
      <c r="F55" s="294"/>
      <c r="G55" s="295">
        <f>'★個人成績表★'!E20</f>
        <v>66</v>
      </c>
      <c r="H55" s="295">
        <f>'★個人成績表★'!G20</f>
        <v>24</v>
      </c>
      <c r="I55" s="295">
        <f>'★個人成績表★'!D20</f>
        <v>5</v>
      </c>
      <c r="J55" s="295">
        <f>'★個人成績表★'!F20</f>
        <v>32</v>
      </c>
      <c r="K55" s="280">
        <f t="shared" si="106"/>
        <v>0</v>
      </c>
      <c r="L55" s="278">
        <f t="shared" si="107"/>
        <v>5</v>
      </c>
      <c r="M55" s="299">
        <f t="shared" si="108"/>
        <v>145</v>
      </c>
      <c r="N55" s="299">
        <f>M55*'登録'!$I$8/'★対戦リーグ表★'!D55</f>
        <v>174</v>
      </c>
      <c r="O55" s="421" t="str">
        <f t="shared" si="109"/>
        <v>*</v>
      </c>
      <c r="P55" s="415">
        <f t="shared" si="110"/>
        <v>174</v>
      </c>
      <c r="Q55" s="279">
        <f>K55*100000+N55</f>
        <v>174</v>
      </c>
      <c r="R55" s="351">
        <f>IF(COUNTBLANK(E55:J55)=6,"",RANK(Q55,Q54:Q59))</f>
        <v>6</v>
      </c>
      <c r="S55" s="455">
        <f>IF('結果入力表'!H106="","",'結果入力表'!H106)</f>
      </c>
      <c r="T55" s="456"/>
      <c r="U55" s="457">
        <f>IF('結果入力表'!E29="","",'結果入力表'!E29)</f>
      </c>
      <c r="V55" s="457">
        <f>IF('結果入力表'!H78="","",'結果入力表'!H78)</f>
      </c>
      <c r="W55" s="457">
        <f>IF('結果入力表'!E915="","",'結果入力表'!E15)</f>
      </c>
      <c r="X55" s="458">
        <f>IF('結果入力表'!H50="","",'結果入力表'!H50)</f>
      </c>
      <c r="Y55" s="289">
        <v>21</v>
      </c>
      <c r="Z55" s="27" t="str">
        <f t="shared" si="111"/>
        <v>HRC</v>
      </c>
      <c r="AA55" s="368" t="str">
        <f>VLOOKUP(Y55,'登録'!$AE$2:$AH$55,3,FALSE)</f>
        <v>堂園 雅也</v>
      </c>
      <c r="AB55" s="351">
        <f>VLOOKUP(Y55,'登録'!$AE$2:$AH$55,4,FALSE)</f>
        <v>120</v>
      </c>
      <c r="AC55" s="298" t="str">
        <f>'★個人成績表★'!M14</f>
        <v>w</v>
      </c>
      <c r="AD55" s="294"/>
      <c r="AE55" s="295" t="str">
        <f>'★個人成績表★'!J14</f>
        <v>w</v>
      </c>
      <c r="AF55" s="295">
        <f>'★個人成績表★'!L14</f>
        <v>60</v>
      </c>
      <c r="AG55" s="295">
        <f>'★個人成績表★'!I14</f>
        <v>78</v>
      </c>
      <c r="AH55" s="295" t="str">
        <f>'★個人成績表★'!K14</f>
        <v>w</v>
      </c>
      <c r="AI55" s="280">
        <f t="shared" si="112"/>
        <v>3</v>
      </c>
      <c r="AJ55" s="278">
        <f t="shared" si="113"/>
        <v>2</v>
      </c>
      <c r="AK55" s="299">
        <f t="shared" si="114"/>
        <v>498</v>
      </c>
      <c r="AL55" s="299">
        <f>AK55*'登録'!$I$8/'★対戦リーグ表★'!AB55</f>
        <v>498</v>
      </c>
      <c r="AM55" s="421">
        <f t="shared" si="115"/>
      </c>
      <c r="AN55" s="415">
        <f t="shared" si="116"/>
        <v>498</v>
      </c>
      <c r="AO55" s="279">
        <f>AI55*100000+AL55</f>
        <v>300498</v>
      </c>
      <c r="AP55" s="351">
        <f>IF(COUNTBLANK(AC55:AH55)=6,"",RANK(AO55,AO54:AO59))</f>
        <v>3</v>
      </c>
      <c r="AQ55" s="455">
        <f>IF('結果入力表'!H211="","",'結果入力表'!H211)</f>
      </c>
      <c r="AR55" s="456"/>
      <c r="AS55" s="457">
        <f>IF('結果入力表'!E134="","",'結果入力表'!E134)</f>
        <v>120</v>
      </c>
      <c r="AT55" s="457">
        <f>IF('結果入力表'!H183="","",'結果入力表'!H183)</f>
      </c>
      <c r="AU55" s="457">
        <f>IF('結果入力表'!E120="","",'結果入力表'!E120)</f>
      </c>
      <c r="AV55" s="458">
        <f>IF('結果入力表'!H155="","",'結果入力表'!H155)</f>
      </c>
      <c r="AX55" s="361">
        <f t="shared" si="117"/>
        <v>17</v>
      </c>
      <c r="AZ55" s="361" t="str">
        <f t="shared" si="118"/>
        <v>栃下 恭子</v>
      </c>
      <c r="BA55" s="361" t="str">
        <f t="shared" si="32"/>
        <v>HRC</v>
      </c>
      <c r="BB55" s="364">
        <f>IF(LEFT(S55,1)="A","A",IF(LEFT(S55,1)="B","B",S55))</f>
      </c>
      <c r="BC55" s="364">
        <f>IF(LEFT(U55,1)="A","A",IF(LEFT(U55,1)="B","B",U55))</f>
      </c>
      <c r="BD55" s="364">
        <f>IF(LEFT(V55,1)="A","A",IF(LEFT(V55,1)="B","B",V55))</f>
      </c>
      <c r="BE55" s="364">
        <f>IF(LEFT(W55,1)="A","A",IF(LEFT(W55,1)="B","B",W55))</f>
      </c>
      <c r="BF55" s="364">
        <f>IF(LEFT(X55,1)="A","A",IF(LEFT(X55,1)="B","B",X55))</f>
      </c>
      <c r="BG55" s="364">
        <f>IF(LEFT(AQ47,1)="A","A",IF(LEFT(AQ47,1)="B","B",AQ47))</f>
      </c>
      <c r="BH55" s="364">
        <f>IF(LEFT(AS47,1)="A","A",IF(LEFT(AS47,1)="B","B",AS47))</f>
      </c>
      <c r="BI55" s="364">
        <f>IF(LEFT(AT47,1)="A","A",IF(LEFT(AT47,1)="B","B",AT47))</f>
      </c>
      <c r="BJ55" s="364">
        <f>IF(LEFT(AU47,1)="A","A",IF(LEFT(AU47,1)="B","B",AU47))</f>
      </c>
      <c r="BK55" s="364">
        <f>IF(LEFT(AV47,1)="A","A",IF(LEFT(AV47,1)="B","B",AV47))</f>
      </c>
      <c r="BL55" s="361">
        <f>IF(BM55&gt;0,"A"&amp;'登録'!$I$8,IF(BN55&gt;0,"B"&amp;'登録'!$I$8,BO55))</f>
        <v>0</v>
      </c>
      <c r="BM55" s="361">
        <f t="shared" si="119"/>
        <v>0</v>
      </c>
      <c r="BN55" s="361">
        <f t="shared" si="119"/>
        <v>0</v>
      </c>
      <c r="BO55" s="361">
        <f t="shared" si="34"/>
        <v>0</v>
      </c>
      <c r="BP55" s="361">
        <f t="shared" si="120"/>
        <v>0</v>
      </c>
      <c r="BQ55" s="361"/>
      <c r="BR55" s="361" t="str">
        <f>'★個人成績表★'!B54</f>
        <v>岸上 賢一</v>
      </c>
      <c r="BS55" s="361">
        <f t="shared" si="104"/>
        <v>104</v>
      </c>
    </row>
    <row r="56" spans="1:71" s="274" customFormat="1" ht="15" customHeight="1">
      <c r="A56" s="275">
        <v>3</v>
      </c>
      <c r="B56" s="27" t="str">
        <f t="shared" si="105"/>
        <v>ORC</v>
      </c>
      <c r="C56" s="368" t="str">
        <f>VLOOKUP(VALUE(A56&amp;B53),'登録'!$AE$2:$AH$55,3,FALSE)</f>
        <v>西田 恵子</v>
      </c>
      <c r="D56" s="351">
        <f>VLOOKUP(VALUE(A56&amp;B53),'登録'!$AE$2:$AH$55,4,FALSE)</f>
        <v>100</v>
      </c>
      <c r="E56" s="298">
        <f>'★個人成績表★'!G29</f>
        <v>62</v>
      </c>
      <c r="F56" s="295" t="str">
        <f>'★個人成績表★'!E29</f>
        <v>w</v>
      </c>
      <c r="G56" s="294"/>
      <c r="H56" s="295" t="str">
        <f>'★個人成績表★'!D29</f>
        <v>w</v>
      </c>
      <c r="I56" s="295">
        <f>'★個人成績表★'!F29</f>
        <v>27</v>
      </c>
      <c r="J56" s="295" t="str">
        <f>'★個人成績表★'!H29</f>
        <v>w</v>
      </c>
      <c r="K56" s="280">
        <f t="shared" si="106"/>
        <v>3</v>
      </c>
      <c r="L56" s="278">
        <f t="shared" si="107"/>
        <v>2</v>
      </c>
      <c r="M56" s="299">
        <f t="shared" si="108"/>
        <v>389</v>
      </c>
      <c r="N56" s="299">
        <f>M56*'登録'!$I$8/'★対戦リーグ表★'!D56</f>
        <v>466.8</v>
      </c>
      <c r="O56" s="421" t="str">
        <f t="shared" si="109"/>
        <v>*</v>
      </c>
      <c r="P56" s="415">
        <f t="shared" si="110"/>
        <v>466.8</v>
      </c>
      <c r="Q56" s="279">
        <f>K56*100000+N56</f>
        <v>300466.8</v>
      </c>
      <c r="R56" s="351">
        <f>IF(COUNTBLANK(E56:J56)=6,"",RANK(Q56,Q54:Q59))</f>
        <v>2</v>
      </c>
      <c r="S56" s="455">
        <f>IF('結果入力表'!H85="","",'結果入力表'!H85)</f>
      </c>
      <c r="T56" s="457">
        <f>IF('結果入力表'!H29="","",'結果入力表'!H29)</f>
      </c>
      <c r="U56" s="456"/>
      <c r="V56" s="457">
        <f>IF('結果入力表'!E8="","",'結果入力表'!E8)</f>
      </c>
      <c r="W56" s="457">
        <f>IF('結果入力表'!H57="","",'結果入力表'!H57)</f>
      </c>
      <c r="X56" s="458">
        <f>IF('結果入力表'!E99="","",'結果入力表'!E99)</f>
      </c>
      <c r="Y56" s="289">
        <v>32</v>
      </c>
      <c r="Z56" s="27" t="str">
        <f t="shared" si="111"/>
        <v>ORC</v>
      </c>
      <c r="AA56" s="368" t="str">
        <f>VLOOKUP(Y56,'登録'!$AE$2:$AH$55,3,FALSE)</f>
        <v>乾　伸綱</v>
      </c>
      <c r="AB56" s="351">
        <f>VLOOKUP(Y56,'登録'!$AE$2:$AH$55,4,FALSE)</f>
        <v>120</v>
      </c>
      <c r="AC56" s="298" t="str">
        <f>'★個人成績表★'!L24</f>
        <v>w</v>
      </c>
      <c r="AD56" s="295">
        <f>'★個人成績表★'!J24</f>
        <v>25</v>
      </c>
      <c r="AE56" s="294"/>
      <c r="AF56" s="295" t="str">
        <f>'★個人成績表★'!I24</f>
        <v>w</v>
      </c>
      <c r="AG56" s="295">
        <f>'★個人成績表★'!K24</f>
        <v>45</v>
      </c>
      <c r="AH56" s="295">
        <f>'★個人成績表★'!M24</f>
        <v>9</v>
      </c>
      <c r="AI56" s="280">
        <f t="shared" si="112"/>
        <v>2</v>
      </c>
      <c r="AJ56" s="278">
        <f t="shared" si="113"/>
        <v>3</v>
      </c>
      <c r="AK56" s="299">
        <f t="shared" si="114"/>
        <v>319</v>
      </c>
      <c r="AL56" s="299">
        <f>AK56*'登録'!$I$8/'★対戦リーグ表★'!AB56</f>
        <v>319</v>
      </c>
      <c r="AM56" s="421">
        <f t="shared" si="115"/>
      </c>
      <c r="AN56" s="415">
        <f t="shared" si="116"/>
        <v>319</v>
      </c>
      <c r="AO56" s="279">
        <f>AI56*100000+AL56</f>
        <v>200319</v>
      </c>
      <c r="AP56" s="351">
        <f>IF(COUNTBLANK(AC56:AH56)=6,"",RANK(AO56,AO54:AO59))</f>
        <v>4</v>
      </c>
      <c r="AQ56" s="455">
        <f>IF('結果入力表'!H190="","",'結果入力表'!H190)</f>
      </c>
      <c r="AR56" s="457">
        <f>IF('結果入力表'!H134="","",'結果入力表'!H134)</f>
      </c>
      <c r="AS56" s="456"/>
      <c r="AT56" s="457">
        <f>IF('結果入力表'!E113="","",'結果入力表'!E113)</f>
      </c>
      <c r="AU56" s="457">
        <f>IF('結果入力表'!H162="","",'結果入力表'!H162)</f>
      </c>
      <c r="AV56" s="458">
        <f>IF('結果入力表'!E204="","",'結果入力表'!E204)</f>
      </c>
      <c r="AX56" s="361">
        <f t="shared" si="117"/>
        <v>17</v>
      </c>
      <c r="AZ56" s="361" t="str">
        <f t="shared" si="118"/>
        <v>西田 恵子</v>
      </c>
      <c r="BA56" s="361" t="str">
        <f t="shared" si="32"/>
        <v>ORC</v>
      </c>
      <c r="BB56" s="364">
        <f>IF(LEFT(S56,1)="A","A",IF(LEFT(S56,1)="B","B",S56))</f>
      </c>
      <c r="BC56" s="364">
        <f>IF(LEFT(T56,1)="A","A",IF(LEFT(T56,1)="B","B",T56))</f>
      </c>
      <c r="BD56" s="364">
        <f>IF(LEFT(V56,1)="A","A",IF(LEFT(V56,1)="B","B",V56))</f>
      </c>
      <c r="BE56" s="364">
        <f>IF(LEFT(W56,1)="A","A",IF(LEFT(W56,1)="B","B",W56))</f>
      </c>
      <c r="BF56" s="364">
        <f>IF(LEFT(X56,1)="A","A",IF(LEFT(X56,1)="B","B",X56))</f>
      </c>
      <c r="BG56" s="364">
        <f>IF(LEFT(AQ40,1)="A","A",IF(LEFT(AQ40,1)="B","B",AQ40))</f>
      </c>
      <c r="BH56" s="364">
        <f>IF(LEFT(AR40,1)="A","A",IF(LEFT(AR40,1)="B","B",AR40))</f>
      </c>
      <c r="BI56" s="364">
        <f>IF(LEFT(AT40,1)="A","A",IF(LEFT(AT40,1)="B","B",AT40))</f>
      </c>
      <c r="BJ56" s="364">
        <f>IF(LEFT(AU40,1)="A","A",IF(LEFT(AU40,1)="B","B",AU40))</f>
      </c>
      <c r="BK56" s="364">
        <f>IF(LEFT(AV40,1)="A","A",IF(LEFT(AV40,1)="B","B",AV40))</f>
      </c>
      <c r="BL56" s="361">
        <f>IF(BM56&gt;0,"A"&amp;'登録'!$I$8,IF(BN56&gt;0,"B"&amp;'登録'!$I$8,BO56))</f>
        <v>0</v>
      </c>
      <c r="BM56" s="361">
        <f t="shared" si="119"/>
        <v>0</v>
      </c>
      <c r="BN56" s="361">
        <f t="shared" si="119"/>
        <v>0</v>
      </c>
      <c r="BO56" s="361">
        <f t="shared" si="34"/>
        <v>0</v>
      </c>
      <c r="BP56" s="361">
        <f t="shared" si="120"/>
        <v>0</v>
      </c>
      <c r="BQ56" s="361"/>
      <c r="BR56" s="361" t="str">
        <f>'★個人成績表★'!B55</f>
        <v>中本 雅大</v>
      </c>
      <c r="BS56" s="361">
        <f t="shared" si="104"/>
        <v>0</v>
      </c>
    </row>
    <row r="57" spans="1:71" s="274" customFormat="1" ht="15" customHeight="1">
      <c r="A57" s="275">
        <v>4</v>
      </c>
      <c r="B57" s="27" t="str">
        <f t="shared" si="105"/>
        <v>NRC</v>
      </c>
      <c r="C57" s="368" t="str">
        <f>VLOOKUP(VALUE(A57&amp;B53),'登録'!$AE$2:$AH$55,3,FALSE)</f>
        <v>宮野 早織</v>
      </c>
      <c r="D57" s="351">
        <f>VLOOKUP(VALUE(A57&amp;B53),'登録'!$AE$2:$AH$55,4,FALSE)</f>
        <v>100</v>
      </c>
      <c r="E57" s="298">
        <f>'★個人成績表★'!F38</f>
        <v>69</v>
      </c>
      <c r="F57" s="295" t="str">
        <f>'★個人成績表★'!G38</f>
        <v>w</v>
      </c>
      <c r="G57" s="295">
        <f>'★個人成績表★'!D38</f>
        <v>31</v>
      </c>
      <c r="H57" s="294"/>
      <c r="I57" s="295">
        <f>'★個人成績表★'!H38</f>
        <v>60</v>
      </c>
      <c r="J57" s="295">
        <f>'★個人成績表★'!E38</f>
        <v>45</v>
      </c>
      <c r="K57" s="280">
        <f t="shared" si="106"/>
        <v>1</v>
      </c>
      <c r="L57" s="278">
        <f t="shared" si="107"/>
        <v>4</v>
      </c>
      <c r="M57" s="299">
        <f t="shared" si="108"/>
        <v>305</v>
      </c>
      <c r="N57" s="299">
        <f>M57*'登録'!$I$8/'★対戦リーグ表★'!D57</f>
        <v>366</v>
      </c>
      <c r="O57" s="421" t="str">
        <f t="shared" si="109"/>
        <v>*</v>
      </c>
      <c r="P57" s="415">
        <f t="shared" si="110"/>
        <v>366</v>
      </c>
      <c r="Q57" s="279">
        <f>K57*100000+N57</f>
        <v>100366</v>
      </c>
      <c r="R57" s="351">
        <f>IF(COUNTBLANK(E57:J57)=6,"",RANK(Q57,Q54:Q59))</f>
        <v>5</v>
      </c>
      <c r="S57" s="455">
        <f>IF('結果入力表'!H64="","",'結果入力表'!H64)</f>
      </c>
      <c r="T57" s="457">
        <f>IF('結果入力表'!E78="","",'結果入力表'!E78)</f>
      </c>
      <c r="U57" s="457">
        <f>IF('結果入力表'!H8="","",'結果入力表'!H8)</f>
      </c>
      <c r="V57" s="456"/>
      <c r="W57" s="457">
        <f>IF('結果入力表'!E92="","",'結果入力表'!E92)</f>
      </c>
      <c r="X57" s="458">
        <f>IF('結果入力表'!H36="","",'結果入力表'!H36)</f>
      </c>
      <c r="Y57" s="289">
        <v>43</v>
      </c>
      <c r="Z57" s="27" t="str">
        <f t="shared" si="111"/>
        <v>NRC</v>
      </c>
      <c r="AA57" s="368" t="str">
        <f>VLOOKUP(Y57,'登録'!$AE$2:$AH$55,3,FALSE)</f>
        <v>吉向 翔平</v>
      </c>
      <c r="AB57" s="351">
        <f>VLOOKUP(Y57,'登録'!$AE$2:$AH$55,4,FALSE)</f>
        <v>120</v>
      </c>
      <c r="AC57" s="298" t="str">
        <f>'★個人成績表★'!K34</f>
        <v>w</v>
      </c>
      <c r="AD57" s="295" t="str">
        <f>'★個人成績表★'!L34</f>
        <v>w</v>
      </c>
      <c r="AE57" s="295">
        <f>'★個人成績表★'!I34</f>
        <v>70</v>
      </c>
      <c r="AF57" s="294"/>
      <c r="AG57" s="295">
        <f>'★個人成績表★'!M34</f>
        <v>90</v>
      </c>
      <c r="AH57" s="295" t="str">
        <f>'★個人成績表★'!J34</f>
        <v>w</v>
      </c>
      <c r="AI57" s="280">
        <f t="shared" si="112"/>
        <v>3</v>
      </c>
      <c r="AJ57" s="278">
        <f t="shared" si="113"/>
        <v>2</v>
      </c>
      <c r="AK57" s="299">
        <f t="shared" si="114"/>
        <v>520</v>
      </c>
      <c r="AL57" s="299">
        <f>AK57*'登録'!$I$8/'★対戦リーグ表★'!AB57</f>
        <v>520</v>
      </c>
      <c r="AM57" s="421">
        <f t="shared" si="115"/>
      </c>
      <c r="AN57" s="415">
        <f t="shared" si="116"/>
        <v>520</v>
      </c>
      <c r="AO57" s="279">
        <f>AI57*100000+AL57</f>
        <v>300520</v>
      </c>
      <c r="AP57" s="351">
        <f>IF(COUNTBLANK(AC57:AH57)=6,"",RANK(AO57,AO54:AO59))</f>
        <v>2</v>
      </c>
      <c r="AQ57" s="455">
        <f>IF('結果入力表'!H169="","",'結果入力表'!H169)</f>
      </c>
      <c r="AR57" s="457">
        <f>IF('結果入力表'!E183="","",'結果入力表'!E183)</f>
      </c>
      <c r="AS57" s="457">
        <f>IF('結果入力表'!H113="","",'結果入力表'!H113)</f>
      </c>
      <c r="AT57" s="456"/>
      <c r="AU57" s="457">
        <f>IF('結果入力表'!E197="","",'結果入力表'!E197)</f>
      </c>
      <c r="AV57" s="458">
        <f>IF('結果入力表'!H141="","",'結果入力表'!H141)</f>
      </c>
      <c r="AX57" s="361">
        <f t="shared" si="117"/>
        <v>17</v>
      </c>
      <c r="AZ57" s="361" t="str">
        <f t="shared" si="118"/>
        <v>宮野 早織</v>
      </c>
      <c r="BA57" s="361" t="str">
        <f t="shared" si="32"/>
        <v>NRC</v>
      </c>
      <c r="BB57" s="364">
        <f>IF(LEFT(S57,1)="A","A",IF(LEFT(S57,1)="B","B",S57))</f>
      </c>
      <c r="BC57" s="364">
        <f>IF(LEFT(T57,1)="A","A",IF(LEFT(T57,1)="B","B",T57))</f>
      </c>
      <c r="BD57" s="364">
        <f>IF(LEFT(U57,1)="A","A",IF(LEFT(U57,1)="B","B",U57))</f>
      </c>
      <c r="BE57" s="364">
        <f>IF(LEFT(W57,1)="A","A",IF(LEFT(W57,1)="B","B",W57))</f>
      </c>
      <c r="BF57" s="364">
        <f>IF(LEFT(X57,1)="A","A",IF(LEFT(X57,1)="B","B",X57))</f>
      </c>
      <c r="BG57" s="364">
        <f>IF(LEFT(AQ33,1)="A","A",IF(LEFT(AQ33,1)="B","B",AQ33))</f>
      </c>
      <c r="BH57" s="364">
        <f>IF(LEFT(AR33,1)="A","A",IF(LEFT(AR33,1)="B","B",AR33))</f>
      </c>
      <c r="BI57" s="364">
        <f>IF(LEFT(AS33,1)="A","A",IF(LEFT(AS33,1)="B","B",AS33))</f>
      </c>
      <c r="BJ57" s="364">
        <f>IF(LEFT(AU33,1)="A","A",IF(LEFT(AU33,1)="B","B",AU33))</f>
      </c>
      <c r="BK57" s="364">
        <f>IF(LEFT(AV33,1)="A","A",IF(LEFT(AV33,1)="B","B",AV33))</f>
      </c>
      <c r="BL57" s="361">
        <f>IF(BM57&gt;0,"A"&amp;'登録'!$I$8,IF(BN57&gt;0,"B"&amp;'登録'!$I$8,BO57))</f>
        <v>0</v>
      </c>
      <c r="BM57" s="361">
        <f t="shared" si="119"/>
        <v>0</v>
      </c>
      <c r="BN57" s="361">
        <f t="shared" si="119"/>
        <v>0</v>
      </c>
      <c r="BO57" s="361">
        <f t="shared" si="34"/>
        <v>0</v>
      </c>
      <c r="BP57" s="361">
        <f t="shared" si="120"/>
        <v>0</v>
      </c>
      <c r="BQ57" s="361"/>
      <c r="BR57" s="361" t="str">
        <f>'★個人成績表★'!B56</f>
        <v>松房ゆかり</v>
      </c>
      <c r="BS57" s="361">
        <f t="shared" si="104"/>
        <v>0</v>
      </c>
    </row>
    <row r="58" spans="1:70" s="274" customFormat="1" ht="15" customHeight="1">
      <c r="A58" s="275">
        <v>5</v>
      </c>
      <c r="B58" s="27" t="str">
        <f t="shared" si="105"/>
        <v>SBC</v>
      </c>
      <c r="C58" s="368" t="str">
        <f>VLOOKUP(VALUE(A58&amp;B53),'登録'!$AE$2:$AH$55,3,FALSE)</f>
        <v>酒井 美希</v>
      </c>
      <c r="D58" s="366">
        <f>VLOOKUP(VALUE(A58&amp;B53),'登録'!$AE$2:$AH$55,4,FALSE)</f>
        <v>100</v>
      </c>
      <c r="E58" s="298">
        <f>'★個人成績表★'!E47</f>
        <v>68</v>
      </c>
      <c r="F58" s="295" t="str">
        <f>'★個人成績表★'!D47</f>
        <v>w</v>
      </c>
      <c r="G58" s="295" t="str">
        <f>'★個人成績表★'!F47</f>
        <v>w</v>
      </c>
      <c r="H58" s="295" t="str">
        <f>'★個人成績表★'!H47</f>
        <v>w</v>
      </c>
      <c r="I58" s="294"/>
      <c r="J58" s="295">
        <f>'★個人成績表★'!G47</f>
        <v>6</v>
      </c>
      <c r="K58" s="281">
        <f t="shared" si="106"/>
        <v>3</v>
      </c>
      <c r="L58" s="282">
        <f t="shared" si="107"/>
        <v>2</v>
      </c>
      <c r="M58" s="283">
        <f t="shared" si="108"/>
        <v>374</v>
      </c>
      <c r="N58" s="283">
        <f>M58*'登録'!$I$8/'★対戦リーグ表★'!D58</f>
        <v>448.8</v>
      </c>
      <c r="O58" s="422" t="str">
        <f t="shared" si="109"/>
        <v>*</v>
      </c>
      <c r="P58" s="415">
        <f t="shared" si="110"/>
        <v>448.8</v>
      </c>
      <c r="Q58" s="279">
        <f>K58*100000+N58</f>
        <v>300448.8</v>
      </c>
      <c r="R58" s="351">
        <f>IF(COUNTBLANK(E58:J58)=6,"",RANK(Q58,Q54:Q59))</f>
        <v>3</v>
      </c>
      <c r="S58" s="455">
        <f>IF('結果入力表'!H43="","",'結果入力表'!H43)</f>
      </c>
      <c r="T58" s="457">
        <f>IF('結果入力表'!H15="","",'結果入力表'!H15)</f>
      </c>
      <c r="U58" s="457">
        <f>IF('結果入力表'!E57="","",'結果入力表'!E57)</f>
      </c>
      <c r="V58" s="457">
        <f>IF('結果入力表'!H92="","",'結果入力表'!H92)</f>
      </c>
      <c r="W58" s="456"/>
      <c r="X58" s="458">
        <f>IF('結果入力表'!E71="","",'結果入力表'!E71)</f>
      </c>
      <c r="Y58" s="289">
        <v>54</v>
      </c>
      <c r="Z58" s="27" t="str">
        <f t="shared" si="111"/>
        <v>SBC</v>
      </c>
      <c r="AA58" s="368" t="str">
        <f>VLOOKUP(Y58,'登録'!$AE$2:$AH$55,3,FALSE)</f>
        <v>山中 康寛</v>
      </c>
      <c r="AB58" s="366">
        <f>VLOOKUP(Y58,'登録'!$AE$2:$AH$55,4,FALSE)</f>
        <v>120</v>
      </c>
      <c r="AC58" s="298" t="str">
        <f>'★個人成績表★'!J44</f>
        <v>w</v>
      </c>
      <c r="AD58" s="295" t="str">
        <f>'★個人成績表★'!I44</f>
        <v>w</v>
      </c>
      <c r="AE58" s="295" t="str">
        <f>'★個人成績表★'!K44</f>
        <v>w</v>
      </c>
      <c r="AF58" s="295" t="str">
        <f>'★個人成績表★'!M44</f>
        <v>w</v>
      </c>
      <c r="AG58" s="294"/>
      <c r="AH58" s="295" t="str">
        <f>'★個人成績表★'!L44</f>
        <v>w</v>
      </c>
      <c r="AI58" s="281">
        <f t="shared" si="112"/>
        <v>5</v>
      </c>
      <c r="AJ58" s="282">
        <f t="shared" si="113"/>
        <v>0</v>
      </c>
      <c r="AK58" s="283">
        <f t="shared" si="114"/>
        <v>600</v>
      </c>
      <c r="AL58" s="283">
        <f>AK58*'登録'!$I$8/'★対戦リーグ表★'!AB58</f>
        <v>600</v>
      </c>
      <c r="AM58" s="422">
        <f t="shared" si="115"/>
      </c>
      <c r="AN58" s="415">
        <f t="shared" si="116"/>
        <v>600</v>
      </c>
      <c r="AO58" s="279">
        <f>AI58*100000+AL58</f>
        <v>500600</v>
      </c>
      <c r="AP58" s="351">
        <f>IF(COUNTBLANK(AC58:AH58)=6,"",RANK(AO58,AO54:AO59))</f>
        <v>1</v>
      </c>
      <c r="AQ58" s="455">
        <f>IF('結果入力表'!H148="","",'結果入力表'!H148)</f>
      </c>
      <c r="AR58" s="457">
        <f>IF('結果入力表'!H120="","",'結果入力表'!H120)</f>
      </c>
      <c r="AS58" s="457">
        <f>IF('結果入力表'!E162="","",'結果入力表'!E162)</f>
      </c>
      <c r="AT58" s="457">
        <f>IF('結果入力表'!H197="","",'結果入力表'!H197)</f>
      </c>
      <c r="AU58" s="456"/>
      <c r="AV58" s="458">
        <f>IF('結果入力表'!E176="","",'結果入力表'!E176)</f>
      </c>
      <c r="AX58" s="361">
        <f t="shared" si="117"/>
        <v>17</v>
      </c>
      <c r="AZ58" s="361" t="str">
        <f t="shared" si="118"/>
        <v>酒井 美希</v>
      </c>
      <c r="BA58" s="361" t="str">
        <f t="shared" si="32"/>
        <v>SBC</v>
      </c>
      <c r="BB58" s="364">
        <f>IF(LEFT(S58,1)="A","A",IF(LEFT(S58,1)="B","B",S58))</f>
      </c>
      <c r="BC58" s="364">
        <f>IF(LEFT(T58,1)="A","A",IF(LEFT(T58,1)="B","B",T58))</f>
      </c>
      <c r="BD58" s="364">
        <f>IF(LEFT(U58,1)="A","A",IF(LEFT(U58,1)="B","B",U58))</f>
      </c>
      <c r="BE58" s="364">
        <f>IF(LEFT(V58,1)="A","A",IF(LEFT(V58,1)="B","B",V58))</f>
      </c>
      <c r="BF58" s="364">
        <f>IF(LEFT(X58,1)="A","A",IF(LEFT(X58,1)="B","B",X58))</f>
      </c>
      <c r="BG58" s="364">
        <f>IF(LEFT(AQ26,1)="A","A",IF(LEFT(AQ26,1)="B","B",AQ26))</f>
      </c>
      <c r="BH58" s="364">
        <f>IF(LEFT(AR26,1)="A","A",IF(LEFT(AR26,1)="B","B",AR26))</f>
      </c>
      <c r="BI58" s="364">
        <f>IF(LEFT(AS26,1)="A","A",IF(LEFT(AS26,1)="B","B",AS26))</f>
      </c>
      <c r="BJ58" s="364">
        <f>IF(LEFT(AT26,1)="A","A",IF(LEFT(AT26,1)="B","B",AT26))</f>
      </c>
      <c r="BK58" s="364">
        <f>IF(LEFT(AV26,1)="A","A",IF(LEFT(AV26,1)="B","B",AV26))</f>
      </c>
      <c r="BL58" s="361">
        <f>IF(BM58&gt;0,"A"&amp;'登録'!$I$8,IF(BN58&gt;0,"B"&amp;'登録'!$I$8,BO58))</f>
        <v>0</v>
      </c>
      <c r="BM58" s="361">
        <f t="shared" si="119"/>
        <v>0</v>
      </c>
      <c r="BN58" s="361">
        <f t="shared" si="119"/>
        <v>0</v>
      </c>
      <c r="BO58" s="361">
        <f t="shared" si="34"/>
        <v>0</v>
      </c>
      <c r="BP58" s="361">
        <f t="shared" si="120"/>
        <v>0</v>
      </c>
      <c r="BQ58" s="361"/>
      <c r="BR58" s="361"/>
    </row>
    <row r="59" spans="1:70" s="274" customFormat="1" ht="15" customHeight="1" thickBot="1">
      <c r="A59" s="275">
        <v>6</v>
      </c>
      <c r="B59" s="355" t="str">
        <f t="shared" si="105"/>
        <v>WRC</v>
      </c>
      <c r="C59" s="369" t="str">
        <f>IF(B59="","",VLOOKUP(VALUE(A59&amp;B53),'登録'!$AE$2:$AH$55,3,FALSE))</f>
        <v>松房ゆかり</v>
      </c>
      <c r="D59" s="352">
        <f>IF(B59="","",VLOOKUP(VALUE(A59&amp;B53),'登録'!$AE$2:$AH$55,4,FALSE))</f>
        <v>100</v>
      </c>
      <c r="E59" s="304">
        <f>'★個人成績表★'!D56</f>
        <v>50</v>
      </c>
      <c r="F59" s="296" t="str">
        <f>'★個人成績表★'!F56</f>
        <v>w</v>
      </c>
      <c r="G59" s="296">
        <f>'★個人成績表★'!H56</f>
        <v>10</v>
      </c>
      <c r="H59" s="296" t="str">
        <f>'★個人成績表★'!E56</f>
        <v>w</v>
      </c>
      <c r="I59" s="296" t="str">
        <f>'★個人成績表★'!G56</f>
        <v>w</v>
      </c>
      <c r="J59" s="297"/>
      <c r="K59" s="284">
        <f t="shared" si="106"/>
        <v>3</v>
      </c>
      <c r="L59" s="285">
        <f t="shared" si="107"/>
        <v>2</v>
      </c>
      <c r="M59" s="293">
        <f t="shared" si="108"/>
        <v>360</v>
      </c>
      <c r="N59" s="293">
        <f>M59*'登録'!$I$8/'★対戦リーグ表★'!D59</f>
        <v>432</v>
      </c>
      <c r="O59" s="423" t="str">
        <f t="shared" si="109"/>
        <v>*</v>
      </c>
      <c r="P59" s="416">
        <f t="shared" si="110"/>
        <v>432</v>
      </c>
      <c r="Q59" s="286">
        <f>IF(D59="","",K59*100000+N59)</f>
        <v>300432</v>
      </c>
      <c r="R59" s="352">
        <f>IF(COUNTBLANK(E59:J59)=6,"",RANK(Q59,Q54:Q59))</f>
        <v>4</v>
      </c>
      <c r="S59" s="459">
        <f>IF('結果入力表'!H22="","",'結果入力表'!H22)</f>
      </c>
      <c r="T59" s="460">
        <f>IF('結果入力表'!E50="","",'結果入力表'!E50)</f>
      </c>
      <c r="U59" s="460">
        <f>IF('結果入力表'!H99="","",'結果入力表'!H99)</f>
      </c>
      <c r="V59" s="460">
        <f>IF('結果入力表'!E36="","",'結果入力表'!E36)</f>
      </c>
      <c r="W59" s="460">
        <f>IF('結果入力表'!H71="","",'結果入力表'!H71)</f>
      </c>
      <c r="X59" s="461"/>
      <c r="Y59" s="289">
        <v>65</v>
      </c>
      <c r="Z59" s="355" t="str">
        <f t="shared" si="111"/>
        <v>WRC</v>
      </c>
      <c r="AA59" s="369" t="str">
        <f>IF(Z59="","",VLOOKUP(Y59,'登録'!$AE$2:$AH$55,3,FALSE))</f>
        <v>岸上 賢一</v>
      </c>
      <c r="AB59" s="352">
        <f>IF(Z59="","",VLOOKUP(Y59,'登録'!$AE$2:$AH$55,4,FALSE))</f>
        <v>120</v>
      </c>
      <c r="AC59" s="304">
        <f>'★個人成績表★'!I54</f>
        <v>76</v>
      </c>
      <c r="AD59" s="296">
        <f>'★個人成績表★'!K54</f>
        <v>6</v>
      </c>
      <c r="AE59" s="296" t="str">
        <f>'★個人成績表★'!M54</f>
        <v>w</v>
      </c>
      <c r="AF59" s="296">
        <f>'★個人成績表★'!J54</f>
        <v>78</v>
      </c>
      <c r="AG59" s="296">
        <f>'★個人成績表★'!L54</f>
        <v>55</v>
      </c>
      <c r="AH59" s="297"/>
      <c r="AI59" s="284">
        <f t="shared" si="112"/>
        <v>1</v>
      </c>
      <c r="AJ59" s="285">
        <f t="shared" si="113"/>
        <v>4</v>
      </c>
      <c r="AK59" s="293">
        <f t="shared" si="114"/>
        <v>335</v>
      </c>
      <c r="AL59" s="293">
        <f>AK59*'登録'!$I$8/'★対戦リーグ表★'!AB59</f>
        <v>335</v>
      </c>
      <c r="AM59" s="423">
        <f t="shared" si="115"/>
      </c>
      <c r="AN59" s="416">
        <f t="shared" si="116"/>
        <v>335</v>
      </c>
      <c r="AO59" s="286">
        <f>IF(AB59="","",AI59*100000+AL59)</f>
        <v>100335</v>
      </c>
      <c r="AP59" s="352">
        <f>IF(COUNTBLANK(AC59:AH59)=6,"",RANK(AO59,AO54:AO59))</f>
        <v>6</v>
      </c>
      <c r="AQ59" s="459">
        <f>IF('結果入力表'!H127="","",'結果入力表'!H127)</f>
      </c>
      <c r="AR59" s="460">
        <f>IF('結果入力表'!E155="","",'結果入力表'!E155)</f>
      </c>
      <c r="AS59" s="460">
        <f>IF('結果入力表'!H204="","",'結果入力表'!H204)</f>
      </c>
      <c r="AT59" s="460">
        <f>IF('結果入力表'!E141="","",'結果入力表'!E141)</f>
      </c>
      <c r="AU59" s="460">
        <f>IF('結果入力表'!H176="","",'結果入力表'!H176)</f>
      </c>
      <c r="AV59" s="461"/>
      <c r="AX59" s="361">
        <f t="shared" si="117"/>
        <v>17</v>
      </c>
      <c r="AZ59" s="361" t="str">
        <f t="shared" si="118"/>
        <v>松房ゆかり</v>
      </c>
      <c r="BA59" s="361" t="str">
        <f t="shared" si="32"/>
        <v>WRC</v>
      </c>
      <c r="BB59" s="364">
        <f>IF(LEFT(S59,1)="A","A",IF(LEFT(S59,1)="B","B",S59))</f>
      </c>
      <c r="BC59" s="364">
        <f>IF(LEFT(T59,1)="A","A",IF(LEFT(T59,1)="B","B",T59))</f>
      </c>
      <c r="BD59" s="364">
        <f>IF(LEFT(U59,1)="A","A",IF(LEFT(U59,1)="B","B",U59))</f>
      </c>
      <c r="BE59" s="364">
        <f>IF(LEFT(V59,1)="A","A",IF(LEFT(V59,1)="B","B",V59))</f>
      </c>
      <c r="BF59" s="364">
        <f>IF(LEFT(W59,1)="A","A",IF(LEFT(W59,1)="B","B",W59))</f>
      </c>
      <c r="BG59" s="364">
        <f>IF(LEFT(AQ19,1)="A","A",IF(LEFT(AQ19,1)="B","B",AQ19))</f>
      </c>
      <c r="BH59" s="364">
        <f>IF(LEFT(AR19,1)="A","A",IF(LEFT(AR19,1)="B","B",AR19))</f>
      </c>
      <c r="BI59" s="364">
        <f>IF(LEFT(AS19,1)="A","A",IF(LEFT(AS19,1)="B","B",AS19))</f>
      </c>
      <c r="BJ59" s="364">
        <f>IF(LEFT(AT19,1)="A","A",IF(LEFT(AT19,1)="B","B",AT19))</f>
      </c>
      <c r="BK59" s="364">
        <f>IF(LEFT(AU19,1)="A","A",IF(LEFT(AU19,1)="B","B",AU19))</f>
      </c>
      <c r="BL59" s="361">
        <f>IF(BM59&gt;0,"A"&amp;'登録'!$I$8,IF(BN59&gt;0,"B"&amp;'登録'!$I$8,BO59))</f>
        <v>0</v>
      </c>
      <c r="BM59" s="361">
        <f t="shared" si="119"/>
        <v>0</v>
      </c>
      <c r="BN59" s="361">
        <f t="shared" si="119"/>
        <v>0</v>
      </c>
      <c r="BO59" s="361">
        <f t="shared" si="34"/>
        <v>0</v>
      </c>
      <c r="BP59" s="361">
        <f t="shared" si="120"/>
        <v>0</v>
      </c>
      <c r="BQ59" s="361"/>
      <c r="BR59" s="361"/>
    </row>
    <row r="60" spans="19:48" ht="15" customHeight="1">
      <c r="S60" s="462"/>
      <c r="T60" s="462"/>
      <c r="U60" s="462"/>
      <c r="V60" s="462"/>
      <c r="W60" s="462"/>
      <c r="X60" s="462"/>
      <c r="AQ60" s="462"/>
      <c r="AR60" s="462"/>
      <c r="AS60" s="462"/>
      <c r="AT60" s="462"/>
      <c r="AU60" s="462"/>
      <c r="AV60" s="462"/>
    </row>
  </sheetData>
  <sheetProtection/>
  <mergeCells count="2">
    <mergeCell ref="T2:V2"/>
    <mergeCell ref="AR2:AT2"/>
  </mergeCells>
  <conditionalFormatting sqref="T54:X54 T22:X22 T30:X30 T38:X38 T46:X46 S7:X11 AR6:AV6 S23:X27 S31:X35 S39:X43 S47:X51 S55:X59 T6:X6 AR14:AV14 AR54:AV54 AR22:AV22 AR30:AV30 AR38:AV38 AR46:AV46 AQ7:AV11 AQ15:AV19 AQ23:AV27 AQ31:AV35 AQ39:AV43 AQ47:AV51 AQ55:AV59 T14:X19 S15:S19">
    <cfRule type="expression" priority="1" dxfId="2" stopIfTrue="1">
      <formula>LEFT(S6,1)="A"</formula>
    </cfRule>
    <cfRule type="expression" priority="2" dxfId="1" stopIfTrue="1">
      <formula>LEFT(S6,1)="B"</formula>
    </cfRule>
    <cfRule type="expression" priority="3" dxfId="0" stopIfTrue="1">
      <formula>AND(S6&gt;0,MAX($BB$6:$BL$59)=S6)</formula>
    </cfRule>
  </conditionalFormatting>
  <printOptions horizontalCentered="1" verticalCentered="1"/>
  <pageMargins left="0.7874015748031497" right="0.1968503937007874" top="0.5905511811023623" bottom="0.5905511811023623" header="0.5118110236220472" footer="0.5118110236220472"/>
  <pageSetup fitToWidth="0" fitToHeight="1" horizontalDpi="300" verticalDpi="300" orientation="portrait" paperSize="9" scale="94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211"/>
  <sheetViews>
    <sheetView zoomScale="93" zoomScaleNormal="93" zoomScalePageLayoutView="0"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4" sqref="H64"/>
    </sheetView>
  </sheetViews>
  <sheetFormatPr defaultColWidth="6.625" defaultRowHeight="15.75" customHeight="1"/>
  <cols>
    <col min="1" max="1" width="7.50390625" style="316" bestFit="1" customWidth="1"/>
    <col min="2" max="2" width="6.75390625" style="316" customWidth="1"/>
    <col min="3" max="3" width="9.125" style="316" customWidth="1"/>
    <col min="4" max="4" width="12.875" style="316" bestFit="1" customWidth="1"/>
    <col min="5" max="5" width="8.125" style="307" bestFit="1" customWidth="1"/>
    <col min="6" max="7" width="9.625" style="307" bestFit="1" customWidth="1"/>
    <col min="8" max="8" width="9.875" style="307" bestFit="1" customWidth="1"/>
    <col min="9" max="9" width="12.875" style="316" bestFit="1" customWidth="1"/>
    <col min="10" max="10" width="9.125" style="307" customWidth="1"/>
    <col min="11" max="11" width="1.625" style="316" customWidth="1"/>
    <col min="12" max="13" width="5.625" style="316" bestFit="1" customWidth="1"/>
    <col min="14" max="16384" width="6.625" style="316" customWidth="1"/>
  </cols>
  <sheetData>
    <row r="1" spans="1:13" ht="15.75" customHeight="1" thickBot="1">
      <c r="A1" s="307" t="s">
        <v>25</v>
      </c>
      <c r="B1" s="308" t="s">
        <v>69</v>
      </c>
      <c r="C1" s="309" t="s">
        <v>22</v>
      </c>
      <c r="D1" s="310" t="s">
        <v>20</v>
      </c>
      <c r="E1" s="311" t="s">
        <v>38</v>
      </c>
      <c r="F1" s="312" t="s">
        <v>10</v>
      </c>
      <c r="G1" s="313" t="s">
        <v>10</v>
      </c>
      <c r="H1" s="311" t="s">
        <v>26</v>
      </c>
      <c r="I1" s="314" t="s">
        <v>21</v>
      </c>
      <c r="J1" s="315" t="s">
        <v>23</v>
      </c>
      <c r="L1" s="307"/>
      <c r="M1" s="307"/>
    </row>
    <row r="2" spans="1:12" ht="15.75" customHeight="1" thickTop="1">
      <c r="A2" s="316" t="s">
        <v>15</v>
      </c>
      <c r="B2" s="427">
        <f>'登録'!AN2</f>
        <v>1</v>
      </c>
      <c r="C2" s="340" t="str">
        <f>'登録'!AQ2</f>
        <v>ORC</v>
      </c>
      <c r="D2" s="341" t="str">
        <f>'登録'!AR2</f>
        <v>村上 泰辰</v>
      </c>
      <c r="E2" s="342"/>
      <c r="F2" s="343" t="s">
        <v>181</v>
      </c>
      <c r="G2" s="344">
        <v>83</v>
      </c>
      <c r="H2" s="342"/>
      <c r="I2" s="345" t="str">
        <f>'登録'!AS2</f>
        <v>白戸 玲人</v>
      </c>
      <c r="J2" s="346" t="str">
        <f>'登録'!AT2</f>
        <v>NRC</v>
      </c>
      <c r="L2" s="316" t="s">
        <v>180</v>
      </c>
    </row>
    <row r="3" spans="2:12" ht="15.75" customHeight="1">
      <c r="B3" s="428">
        <f>'登録'!AN3</f>
        <v>2</v>
      </c>
      <c r="C3" s="324" t="str">
        <f>'登録'!AQ3</f>
        <v>ORC</v>
      </c>
      <c r="D3" s="325" t="str">
        <f>'登録'!AR3</f>
        <v>乾　伸綱</v>
      </c>
      <c r="E3" s="326">
        <v>118</v>
      </c>
      <c r="F3" s="327" t="s">
        <v>181</v>
      </c>
      <c r="G3" s="328">
        <v>12</v>
      </c>
      <c r="H3" s="326"/>
      <c r="I3" s="329" t="str">
        <f>'登録'!AS3</f>
        <v>近藤 拓馬</v>
      </c>
      <c r="J3" s="330" t="str">
        <f>'登録'!AT3</f>
        <v>NRC</v>
      </c>
      <c r="L3" s="316" t="s">
        <v>180</v>
      </c>
    </row>
    <row r="4" spans="2:12" ht="15.75" customHeight="1">
      <c r="B4" s="428">
        <f>'登録'!AN4</f>
        <v>3</v>
      </c>
      <c r="C4" s="324" t="str">
        <f>'登録'!AQ4</f>
        <v>ORC</v>
      </c>
      <c r="D4" s="325" t="str">
        <f>'登録'!AR4</f>
        <v>吉岡 保俊</v>
      </c>
      <c r="E4" s="326"/>
      <c r="F4" s="327" t="s">
        <v>181</v>
      </c>
      <c r="G4" s="328">
        <v>34</v>
      </c>
      <c r="H4" s="326"/>
      <c r="I4" s="329" t="str">
        <f>'登録'!AS4</f>
        <v>吉向 翔平</v>
      </c>
      <c r="J4" s="330" t="str">
        <f>'登録'!AT4</f>
        <v>NRC</v>
      </c>
      <c r="L4" s="316" t="s">
        <v>180</v>
      </c>
    </row>
    <row r="5" spans="2:12" ht="15.75" customHeight="1">
      <c r="B5" s="428">
        <f>'登録'!AN5</f>
        <v>4</v>
      </c>
      <c r="C5" s="324" t="str">
        <f>'登録'!AQ5</f>
        <v>ORC</v>
      </c>
      <c r="D5" s="325" t="str">
        <f>'登録'!AR5</f>
        <v>山田 玄英</v>
      </c>
      <c r="E5" s="326"/>
      <c r="F5" s="327" t="s">
        <v>181</v>
      </c>
      <c r="G5" s="328">
        <v>92</v>
      </c>
      <c r="H5" s="326"/>
      <c r="I5" s="329" t="str">
        <f>'登録'!AS5</f>
        <v>山田 普之</v>
      </c>
      <c r="J5" s="330" t="str">
        <f>'登録'!AT5</f>
        <v>NRC</v>
      </c>
      <c r="L5" s="316" t="s">
        <v>180</v>
      </c>
    </row>
    <row r="6" spans="2:12" ht="15.75" customHeight="1">
      <c r="B6" s="428">
        <f>'登録'!AN6</f>
        <v>5</v>
      </c>
      <c r="C6" s="324" t="str">
        <f>'登録'!AQ6</f>
        <v>ORC</v>
      </c>
      <c r="D6" s="325" t="str">
        <f>'登録'!AR6</f>
        <v>由本　拓</v>
      </c>
      <c r="E6" s="326"/>
      <c r="F6" s="327">
        <v>8</v>
      </c>
      <c r="G6" s="328" t="s">
        <v>181</v>
      </c>
      <c r="H6" s="326">
        <v>102</v>
      </c>
      <c r="I6" s="329" t="str">
        <f>'登録'!AS6</f>
        <v>山田 晃司</v>
      </c>
      <c r="J6" s="330" t="str">
        <f>'登録'!AT6</f>
        <v>NRC</v>
      </c>
      <c r="L6" s="316" t="s">
        <v>180</v>
      </c>
    </row>
    <row r="7" spans="2:12" ht="15.75" customHeight="1">
      <c r="B7" s="428">
        <f>'登録'!AN7</f>
        <v>6</v>
      </c>
      <c r="C7" s="324" t="str">
        <f>'登録'!AQ7</f>
        <v>ORC</v>
      </c>
      <c r="D7" s="325" t="str">
        <f>'登録'!AR7</f>
        <v>田中 隆介</v>
      </c>
      <c r="E7" s="326"/>
      <c r="F7" s="327" t="s">
        <v>181</v>
      </c>
      <c r="G7" s="328">
        <v>46</v>
      </c>
      <c r="H7" s="326"/>
      <c r="I7" s="329" t="str">
        <f>'登録'!AS7</f>
        <v>長谷川 進</v>
      </c>
      <c r="J7" s="330" t="str">
        <f>'登録'!AT7</f>
        <v>NRC</v>
      </c>
      <c r="L7" s="316" t="s">
        <v>180</v>
      </c>
    </row>
    <row r="8" spans="2:12" ht="15.75" customHeight="1" thickBot="1">
      <c r="B8" s="429">
        <f>'登録'!AN8</f>
        <v>7</v>
      </c>
      <c r="C8" s="324" t="str">
        <f>'登録'!AQ8</f>
        <v>ORC</v>
      </c>
      <c r="D8" s="332" t="str">
        <f>'登録'!AR8</f>
        <v>西田 恵子</v>
      </c>
      <c r="E8" s="333"/>
      <c r="F8" s="334" t="s">
        <v>181</v>
      </c>
      <c r="G8" s="335">
        <v>31</v>
      </c>
      <c r="H8" s="333"/>
      <c r="I8" s="336" t="str">
        <f>'登録'!AS8</f>
        <v>宮野 早織</v>
      </c>
      <c r="J8" s="330" t="str">
        <f>'登録'!AT8</f>
        <v>NRC</v>
      </c>
      <c r="L8" s="316" t="s">
        <v>180</v>
      </c>
    </row>
    <row r="9" spans="2:12" ht="15.75" customHeight="1">
      <c r="B9" s="430">
        <f>'登録'!AN9</f>
        <v>8</v>
      </c>
      <c r="C9" s="317" t="str">
        <f>'登録'!AQ9</f>
        <v>HRC</v>
      </c>
      <c r="D9" s="318" t="str">
        <f>'登録'!AR9</f>
        <v>堂園 雅也</v>
      </c>
      <c r="E9" s="319"/>
      <c r="F9" s="320" t="s">
        <v>181</v>
      </c>
      <c r="G9" s="321">
        <v>17</v>
      </c>
      <c r="H9" s="319"/>
      <c r="I9" s="322" t="str">
        <f>'登録'!AS9</f>
        <v>西峰 久祐</v>
      </c>
      <c r="J9" s="323" t="str">
        <f>'登録'!AT9</f>
        <v>SBC</v>
      </c>
      <c r="L9" s="316" t="s">
        <v>180</v>
      </c>
    </row>
    <row r="10" spans="2:12" ht="15.75" customHeight="1">
      <c r="B10" s="428">
        <f>'登録'!AN10</f>
        <v>9</v>
      </c>
      <c r="C10" s="324" t="str">
        <f>'登録'!AQ10</f>
        <v>HRC</v>
      </c>
      <c r="D10" s="325" t="str">
        <f>'登録'!AR10</f>
        <v>長井　充</v>
      </c>
      <c r="E10" s="326"/>
      <c r="F10" s="327" t="s">
        <v>181</v>
      </c>
      <c r="G10" s="328">
        <v>30</v>
      </c>
      <c r="H10" s="326"/>
      <c r="I10" s="329" t="str">
        <f>'登録'!AS10</f>
        <v>長田 智紀</v>
      </c>
      <c r="J10" s="330" t="str">
        <f>'登録'!AT10</f>
        <v>SBC</v>
      </c>
      <c r="L10" s="316" t="s">
        <v>180</v>
      </c>
    </row>
    <row r="11" spans="2:12" ht="15.75" customHeight="1">
      <c r="B11" s="428">
        <f>'登録'!AN11</f>
        <v>10</v>
      </c>
      <c r="C11" s="324" t="str">
        <f>'登録'!AQ11</f>
        <v>HRC</v>
      </c>
      <c r="D11" s="325" t="str">
        <f>'登録'!AR11</f>
        <v>藤中健太郎</v>
      </c>
      <c r="E11" s="326"/>
      <c r="F11" s="327">
        <v>26</v>
      </c>
      <c r="G11" s="328" t="s">
        <v>181</v>
      </c>
      <c r="H11" s="326"/>
      <c r="I11" s="329" t="str">
        <f>'登録'!AS11</f>
        <v>大橋 義治</v>
      </c>
      <c r="J11" s="330" t="str">
        <f>'登録'!AT11</f>
        <v>SBC</v>
      </c>
      <c r="L11" s="316" t="s">
        <v>180</v>
      </c>
    </row>
    <row r="12" spans="2:12" ht="15.75" customHeight="1">
      <c r="B12" s="428">
        <f>'登録'!AN12</f>
        <v>11</v>
      </c>
      <c r="C12" s="324" t="str">
        <f>'登録'!AQ12</f>
        <v>HRC</v>
      </c>
      <c r="D12" s="325" t="str">
        <f>'登録'!AR12</f>
        <v>後藤 勇治</v>
      </c>
      <c r="E12" s="326"/>
      <c r="F12" s="327" t="s">
        <v>181</v>
      </c>
      <c r="G12" s="328">
        <v>0</v>
      </c>
      <c r="H12" s="326"/>
      <c r="I12" s="329" t="str">
        <f>'登録'!AS12</f>
        <v>山中 康寛</v>
      </c>
      <c r="J12" s="330" t="str">
        <f>'登録'!AT12</f>
        <v>SBC</v>
      </c>
      <c r="L12" s="316" t="s">
        <v>180</v>
      </c>
    </row>
    <row r="13" spans="2:12" ht="15.75" customHeight="1">
      <c r="B13" s="428">
        <f>'登録'!AN13</f>
        <v>12</v>
      </c>
      <c r="C13" s="324" t="str">
        <f>'登録'!AQ13</f>
        <v>HRC</v>
      </c>
      <c r="D13" s="325" t="str">
        <f>'登録'!AR13</f>
        <v>丹羽 俊也</v>
      </c>
      <c r="E13" s="326"/>
      <c r="F13" s="327">
        <v>84</v>
      </c>
      <c r="G13" s="328" t="s">
        <v>181</v>
      </c>
      <c r="H13" s="326"/>
      <c r="I13" s="329" t="str">
        <f>'登録'!AS13</f>
        <v>高島 太一</v>
      </c>
      <c r="J13" s="330" t="str">
        <f>'登録'!AT13</f>
        <v>SBC</v>
      </c>
      <c r="L13" s="316" t="s">
        <v>180</v>
      </c>
    </row>
    <row r="14" spans="2:12" ht="15.75" customHeight="1">
      <c r="B14" s="428">
        <f>'登録'!AN14</f>
        <v>13</v>
      </c>
      <c r="C14" s="324" t="str">
        <f>'登録'!AQ14</f>
        <v>HRC</v>
      </c>
      <c r="D14" s="325" t="str">
        <f>'登録'!AR14</f>
        <v>平井 洸志</v>
      </c>
      <c r="E14" s="326"/>
      <c r="F14" s="327" t="s">
        <v>181</v>
      </c>
      <c r="G14" s="328">
        <v>106</v>
      </c>
      <c r="H14" s="326"/>
      <c r="I14" s="329" t="str">
        <f>'登録'!AS14</f>
        <v>須藤 浩章</v>
      </c>
      <c r="J14" s="330" t="str">
        <f>'登録'!AT14</f>
        <v>SBC</v>
      </c>
      <c r="L14" s="316" t="s">
        <v>180</v>
      </c>
    </row>
    <row r="15" spans="2:12" ht="15.75" customHeight="1" thickBot="1">
      <c r="B15" s="429">
        <f>'登録'!AN15</f>
        <v>14</v>
      </c>
      <c r="C15" s="331" t="str">
        <f>'登録'!AQ15</f>
        <v>HRC</v>
      </c>
      <c r="D15" s="332" t="str">
        <f>'登録'!AR15</f>
        <v>栃下 恭子</v>
      </c>
      <c r="E15" s="333"/>
      <c r="F15" s="334">
        <v>5</v>
      </c>
      <c r="G15" s="335" t="s">
        <v>181</v>
      </c>
      <c r="H15" s="333"/>
      <c r="I15" s="336" t="str">
        <f>'登録'!AS15</f>
        <v>酒井 美希</v>
      </c>
      <c r="J15" s="337" t="str">
        <f>'登録'!AT15</f>
        <v>SBC</v>
      </c>
      <c r="L15" s="316" t="s">
        <v>180</v>
      </c>
    </row>
    <row r="16" spans="2:12" ht="15.75" customHeight="1">
      <c r="B16" s="430">
        <f>'登録'!AN16</f>
        <v>15</v>
      </c>
      <c r="C16" s="317" t="str">
        <f>'登録'!AQ16</f>
        <v>KRC</v>
      </c>
      <c r="D16" s="318" t="str">
        <f>'登録'!AR16</f>
        <v>折戸 和幸</v>
      </c>
      <c r="E16" s="319">
        <v>112</v>
      </c>
      <c r="F16" s="320" t="s">
        <v>181</v>
      </c>
      <c r="G16" s="321">
        <v>0</v>
      </c>
      <c r="H16" s="319"/>
      <c r="I16" s="322" t="str">
        <f>'登録'!AS16</f>
        <v>末岡　修</v>
      </c>
      <c r="J16" s="323" t="str">
        <f>'登録'!AT16</f>
        <v>WRC</v>
      </c>
      <c r="L16" s="316" t="s">
        <v>180</v>
      </c>
    </row>
    <row r="17" spans="2:12" ht="15.75" customHeight="1">
      <c r="B17" s="428">
        <f>'登録'!AN17</f>
        <v>16</v>
      </c>
      <c r="C17" s="324" t="str">
        <f>'登録'!AQ17</f>
        <v>KRC</v>
      </c>
      <c r="D17" s="325" t="str">
        <f>'登録'!AR17</f>
        <v>今村 哲也</v>
      </c>
      <c r="E17" s="326"/>
      <c r="F17" s="327" t="s">
        <v>181</v>
      </c>
      <c r="G17" s="328">
        <v>67</v>
      </c>
      <c r="H17" s="326"/>
      <c r="I17" s="329" t="str">
        <f>'登録'!AS17</f>
        <v>杉本 博章</v>
      </c>
      <c r="J17" s="330" t="str">
        <f>'登録'!AT17</f>
        <v>WRC</v>
      </c>
      <c r="L17" s="316" t="s">
        <v>180</v>
      </c>
    </row>
    <row r="18" spans="2:12" ht="15.75" customHeight="1">
      <c r="B18" s="428">
        <f>'登録'!AN18</f>
        <v>17</v>
      </c>
      <c r="C18" s="324" t="str">
        <f>'登録'!AQ18</f>
        <v>KRC</v>
      </c>
      <c r="D18" s="325" t="str">
        <f>'登録'!AR18</f>
        <v>小山 久博</v>
      </c>
      <c r="E18" s="326"/>
      <c r="F18" s="327" t="s">
        <v>181</v>
      </c>
      <c r="G18" s="328">
        <v>10</v>
      </c>
      <c r="H18" s="326"/>
      <c r="I18" s="329" t="str">
        <f>'登録'!AS18</f>
        <v>丹次 力良</v>
      </c>
      <c r="J18" s="330" t="str">
        <f>'登録'!AT18</f>
        <v>WRC</v>
      </c>
      <c r="L18" s="316" t="s">
        <v>180</v>
      </c>
    </row>
    <row r="19" spans="2:12" ht="15.75" customHeight="1">
      <c r="B19" s="428">
        <f>'登録'!AN19</f>
        <v>18</v>
      </c>
      <c r="C19" s="324" t="str">
        <f>'登録'!AQ19</f>
        <v>KRC</v>
      </c>
      <c r="D19" s="325" t="str">
        <f>'登録'!AR19</f>
        <v>伊庭 保久</v>
      </c>
      <c r="E19" s="326"/>
      <c r="F19" s="327">
        <v>106</v>
      </c>
      <c r="G19" s="328" t="s">
        <v>181</v>
      </c>
      <c r="H19" s="326"/>
      <c r="I19" s="329" t="str">
        <f>'登録'!AS19</f>
        <v>芝先 泰生</v>
      </c>
      <c r="J19" s="330" t="str">
        <f>'登録'!AT19</f>
        <v>WRC</v>
      </c>
      <c r="L19" s="316" t="s">
        <v>180</v>
      </c>
    </row>
    <row r="20" spans="2:12" ht="15.75" customHeight="1">
      <c r="B20" s="428">
        <f>'登録'!AN20</f>
        <v>19</v>
      </c>
      <c r="C20" s="324" t="str">
        <f>'登録'!AQ20</f>
        <v>KRC</v>
      </c>
      <c r="D20" s="325" t="str">
        <f>'登録'!AR20</f>
        <v>菊池 靖正</v>
      </c>
      <c r="E20" s="326"/>
      <c r="F20" s="327">
        <v>0</v>
      </c>
      <c r="G20" s="328" t="s">
        <v>181</v>
      </c>
      <c r="H20" s="326"/>
      <c r="I20" s="329" t="str">
        <f>'登録'!AS20</f>
        <v>岸上 賢一</v>
      </c>
      <c r="J20" s="330" t="str">
        <f>'登録'!AT20</f>
        <v>WRC</v>
      </c>
      <c r="L20" s="316" t="s">
        <v>180</v>
      </c>
    </row>
    <row r="21" spans="2:12" ht="15.75" customHeight="1">
      <c r="B21" s="428">
        <f>'登録'!AN21</f>
        <v>20</v>
      </c>
      <c r="C21" s="324" t="str">
        <f>'登録'!AQ21</f>
        <v>KRC</v>
      </c>
      <c r="D21" s="325" t="str">
        <f>'登録'!AR21</f>
        <v>田附 裕次</v>
      </c>
      <c r="E21" s="326"/>
      <c r="F21" s="327" t="s">
        <v>181</v>
      </c>
      <c r="G21" s="328">
        <v>74</v>
      </c>
      <c r="H21" s="326"/>
      <c r="I21" s="329" t="str">
        <f>'登録'!AS21</f>
        <v>中本 雅大</v>
      </c>
      <c r="J21" s="330" t="str">
        <f>'登録'!AT21</f>
        <v>WRC</v>
      </c>
      <c r="L21" s="316" t="s">
        <v>180</v>
      </c>
    </row>
    <row r="22" spans="2:12" ht="15.75" customHeight="1" thickBot="1">
      <c r="B22" s="429">
        <f>'登録'!AN22</f>
        <v>21</v>
      </c>
      <c r="C22" s="331" t="str">
        <f>'登録'!AQ22</f>
        <v>KRC</v>
      </c>
      <c r="D22" s="332" t="str">
        <f>'登録'!AR22</f>
        <v>森田由佳里</v>
      </c>
      <c r="E22" s="333"/>
      <c r="F22" s="334" t="s">
        <v>181</v>
      </c>
      <c r="G22" s="335">
        <v>50</v>
      </c>
      <c r="H22" s="333"/>
      <c r="I22" s="336" t="str">
        <f>'登録'!AS22</f>
        <v>松房ゆかり</v>
      </c>
      <c r="J22" s="337" t="str">
        <f>'登録'!AT22</f>
        <v>WRC</v>
      </c>
      <c r="L22" s="316" t="s">
        <v>180</v>
      </c>
    </row>
    <row r="23" spans="2:12" ht="15.75" customHeight="1">
      <c r="B23" s="431">
        <f>'登録'!AN23</f>
        <v>22</v>
      </c>
      <c r="C23" s="317" t="str">
        <f>'登録'!AQ23</f>
        <v>HRC</v>
      </c>
      <c r="D23" s="318" t="str">
        <f>'登録'!AR23</f>
        <v>堂園 雅也</v>
      </c>
      <c r="E23" s="319"/>
      <c r="F23" s="320">
        <v>0</v>
      </c>
      <c r="G23" s="321" t="s">
        <v>181</v>
      </c>
      <c r="H23" s="319" t="s">
        <v>182</v>
      </c>
      <c r="I23" s="322" t="str">
        <f>'登録'!AS23</f>
        <v>村上 泰辰</v>
      </c>
      <c r="J23" s="323" t="str">
        <f>'登録'!AT23</f>
        <v>ORC</v>
      </c>
      <c r="L23" s="316" t="s">
        <v>180</v>
      </c>
    </row>
    <row r="24" spans="2:12" ht="15.75" customHeight="1">
      <c r="B24" s="432">
        <f>'登録'!AN24</f>
        <v>23</v>
      </c>
      <c r="C24" s="324" t="str">
        <f>'登録'!AQ24</f>
        <v>HRC</v>
      </c>
      <c r="D24" s="325" t="str">
        <f>'登録'!AR24</f>
        <v>長井　充</v>
      </c>
      <c r="E24" s="326"/>
      <c r="F24" s="327">
        <v>34</v>
      </c>
      <c r="G24" s="328" t="s">
        <v>181</v>
      </c>
      <c r="H24" s="326"/>
      <c r="I24" s="329" t="str">
        <f>'登録'!AS24</f>
        <v>乾　伸綱</v>
      </c>
      <c r="J24" s="330" t="str">
        <f>'登録'!AT24</f>
        <v>ORC</v>
      </c>
      <c r="L24" s="316" t="s">
        <v>180</v>
      </c>
    </row>
    <row r="25" spans="2:12" ht="15.75" customHeight="1">
      <c r="B25" s="432">
        <f>'登録'!AN25</f>
        <v>24</v>
      </c>
      <c r="C25" s="324" t="str">
        <f>'登録'!AQ25</f>
        <v>HRC</v>
      </c>
      <c r="D25" s="325" t="str">
        <f>'登録'!AR25</f>
        <v>藤中健太郎</v>
      </c>
      <c r="E25" s="326"/>
      <c r="F25" s="327">
        <v>100</v>
      </c>
      <c r="G25" s="328" t="s">
        <v>181</v>
      </c>
      <c r="H25" s="326"/>
      <c r="I25" s="329" t="str">
        <f>'登録'!AS25</f>
        <v>吉岡 保俊</v>
      </c>
      <c r="J25" s="330" t="str">
        <f>'登録'!AT25</f>
        <v>ORC</v>
      </c>
      <c r="L25" s="316" t="s">
        <v>180</v>
      </c>
    </row>
    <row r="26" spans="2:12" ht="15.75" customHeight="1">
      <c r="B26" s="432">
        <f>'登録'!AN26</f>
        <v>25</v>
      </c>
      <c r="C26" s="324" t="str">
        <f>'登録'!AQ26</f>
        <v>HRC</v>
      </c>
      <c r="D26" s="325" t="str">
        <f>'登録'!AR26</f>
        <v>後藤 勇治</v>
      </c>
      <c r="E26" s="326"/>
      <c r="F26" s="327">
        <v>40</v>
      </c>
      <c r="G26" s="328" t="s">
        <v>181</v>
      </c>
      <c r="H26" s="326"/>
      <c r="I26" s="329" t="str">
        <f>'登録'!AS26</f>
        <v>山田 玄英</v>
      </c>
      <c r="J26" s="330" t="str">
        <f>'登録'!AT26</f>
        <v>ORC</v>
      </c>
      <c r="L26" s="316" t="s">
        <v>180</v>
      </c>
    </row>
    <row r="27" spans="2:12" ht="15.75" customHeight="1">
      <c r="B27" s="432">
        <f>'登録'!AN27</f>
        <v>26</v>
      </c>
      <c r="C27" s="324" t="str">
        <f>'登録'!AQ27</f>
        <v>HRC</v>
      </c>
      <c r="D27" s="325" t="str">
        <f>'登録'!AR27</f>
        <v>丹羽 俊也</v>
      </c>
      <c r="E27" s="326"/>
      <c r="F27" s="327">
        <v>14</v>
      </c>
      <c r="G27" s="328" t="s">
        <v>181</v>
      </c>
      <c r="H27" s="326"/>
      <c r="I27" s="329" t="str">
        <f>'登録'!AS27</f>
        <v>由本　拓</v>
      </c>
      <c r="J27" s="330" t="str">
        <f>'登録'!AT27</f>
        <v>ORC</v>
      </c>
      <c r="L27" s="316" t="s">
        <v>180</v>
      </c>
    </row>
    <row r="28" spans="2:12" ht="15.75" customHeight="1">
      <c r="B28" s="432">
        <f>'登録'!AN28</f>
        <v>27</v>
      </c>
      <c r="C28" s="324" t="str">
        <f>'登録'!AQ28</f>
        <v>HRC</v>
      </c>
      <c r="D28" s="325" t="str">
        <f>'登録'!AR28</f>
        <v>平井 洸志</v>
      </c>
      <c r="E28" s="326"/>
      <c r="F28" s="327">
        <v>49</v>
      </c>
      <c r="G28" s="328" t="s">
        <v>181</v>
      </c>
      <c r="H28" s="326"/>
      <c r="I28" s="329" t="str">
        <f>'登録'!AS28</f>
        <v>田中 隆介</v>
      </c>
      <c r="J28" s="330" t="str">
        <f>'登録'!AT28</f>
        <v>ORC</v>
      </c>
      <c r="L28" s="316" t="s">
        <v>180</v>
      </c>
    </row>
    <row r="29" spans="2:12" ht="15.75" customHeight="1" thickBot="1">
      <c r="B29" s="433">
        <f>'登録'!AN29</f>
        <v>28</v>
      </c>
      <c r="C29" s="331" t="str">
        <f>'登録'!AQ29</f>
        <v>HRC</v>
      </c>
      <c r="D29" s="332" t="str">
        <f>'登録'!AR29</f>
        <v>栃下 恭子</v>
      </c>
      <c r="E29" s="333"/>
      <c r="F29" s="334">
        <v>66</v>
      </c>
      <c r="G29" s="335" t="s">
        <v>181</v>
      </c>
      <c r="H29" s="333"/>
      <c r="I29" s="336" t="str">
        <f>'登録'!AS29</f>
        <v>西田 恵子</v>
      </c>
      <c r="J29" s="337" t="str">
        <f>'登録'!AT29</f>
        <v>ORC</v>
      </c>
      <c r="L29" s="316" t="s">
        <v>180</v>
      </c>
    </row>
    <row r="30" spans="2:12" ht="15.75" customHeight="1">
      <c r="B30" s="431">
        <f>'登録'!AN30</f>
        <v>29</v>
      </c>
      <c r="C30" s="317" t="str">
        <f>'登録'!AQ30</f>
        <v>WRC</v>
      </c>
      <c r="D30" s="318" t="str">
        <f>'登録'!AR30</f>
        <v>末岡　修</v>
      </c>
      <c r="E30" s="319"/>
      <c r="F30" s="320">
        <v>85</v>
      </c>
      <c r="G30" s="321" t="s">
        <v>181</v>
      </c>
      <c r="H30" s="319"/>
      <c r="I30" s="322" t="str">
        <f>'登録'!AS30</f>
        <v>白戸 玲人</v>
      </c>
      <c r="J30" s="323" t="str">
        <f>'登録'!AT30</f>
        <v>NRC</v>
      </c>
      <c r="L30" s="316" t="s">
        <v>180</v>
      </c>
    </row>
    <row r="31" spans="2:12" ht="15.75" customHeight="1">
      <c r="B31" s="432">
        <f>'登録'!AN31</f>
        <v>30</v>
      </c>
      <c r="C31" s="324" t="str">
        <f>'登録'!AQ31</f>
        <v>WRC</v>
      </c>
      <c r="D31" s="325" t="str">
        <f>'登録'!AR31</f>
        <v>杉本 博章</v>
      </c>
      <c r="E31" s="326"/>
      <c r="F31" s="470" t="s">
        <v>181</v>
      </c>
      <c r="G31" s="328">
        <v>43</v>
      </c>
      <c r="H31" s="326"/>
      <c r="I31" s="329" t="str">
        <f>'登録'!AS31</f>
        <v>近藤 拓馬</v>
      </c>
      <c r="J31" s="330" t="str">
        <f>'登録'!AT31</f>
        <v>NRC</v>
      </c>
      <c r="L31" s="316" t="s">
        <v>180</v>
      </c>
    </row>
    <row r="32" spans="2:12" ht="15.75" customHeight="1">
      <c r="B32" s="432">
        <f>'登録'!AN32</f>
        <v>31</v>
      </c>
      <c r="C32" s="324" t="str">
        <f>'登録'!AQ32</f>
        <v>WRC</v>
      </c>
      <c r="D32" s="325" t="str">
        <f>'登録'!AR32</f>
        <v>丹次 力良</v>
      </c>
      <c r="E32" s="326"/>
      <c r="F32" s="327">
        <v>68</v>
      </c>
      <c r="G32" s="328" t="s">
        <v>181</v>
      </c>
      <c r="H32" s="326"/>
      <c r="I32" s="329" t="str">
        <f>'登録'!AS32</f>
        <v>吉向 翔平</v>
      </c>
      <c r="J32" s="330" t="str">
        <f>'登録'!AT32</f>
        <v>NRC</v>
      </c>
      <c r="L32" s="316" t="s">
        <v>180</v>
      </c>
    </row>
    <row r="33" spans="2:12" ht="15.75" customHeight="1">
      <c r="B33" s="432">
        <f>'登録'!AN33</f>
        <v>32</v>
      </c>
      <c r="C33" s="324" t="str">
        <f>'登録'!AQ33</f>
        <v>WRC</v>
      </c>
      <c r="D33" s="325" t="str">
        <f>'登録'!AR33</f>
        <v>芝先 泰生</v>
      </c>
      <c r="E33" s="326"/>
      <c r="F33" s="470">
        <v>3</v>
      </c>
      <c r="G33" s="328" t="s">
        <v>181</v>
      </c>
      <c r="H33" s="326"/>
      <c r="I33" s="329" t="str">
        <f>'登録'!AS33</f>
        <v>山田 普之</v>
      </c>
      <c r="J33" s="330" t="str">
        <f>'登録'!AT33</f>
        <v>NRC</v>
      </c>
      <c r="L33" s="316" t="s">
        <v>180</v>
      </c>
    </row>
    <row r="34" spans="2:12" ht="15.75" customHeight="1">
      <c r="B34" s="432">
        <f>'登録'!AN34</f>
        <v>33</v>
      </c>
      <c r="C34" s="324" t="str">
        <f>'登録'!AQ34</f>
        <v>WRC</v>
      </c>
      <c r="D34" s="325" t="str">
        <f>'登録'!AR34</f>
        <v>岸上 賢一</v>
      </c>
      <c r="E34" s="326">
        <v>104</v>
      </c>
      <c r="F34" s="327" t="s">
        <v>181</v>
      </c>
      <c r="G34" s="328">
        <v>26</v>
      </c>
      <c r="H34" s="326"/>
      <c r="I34" s="329" t="str">
        <f>'登録'!AS34</f>
        <v>山田 晃司</v>
      </c>
      <c r="J34" s="330" t="str">
        <f>'登録'!AT34</f>
        <v>NRC</v>
      </c>
      <c r="L34" s="316" t="s">
        <v>180</v>
      </c>
    </row>
    <row r="35" spans="2:12" ht="15.75" customHeight="1">
      <c r="B35" s="432">
        <f>'登録'!AN35</f>
        <v>34</v>
      </c>
      <c r="C35" s="324" t="str">
        <f>'登録'!AQ35</f>
        <v>WRC</v>
      </c>
      <c r="D35" s="325" t="str">
        <f>'登録'!AR35</f>
        <v>中本 雅大</v>
      </c>
      <c r="E35" s="326"/>
      <c r="F35" s="327" t="s">
        <v>181</v>
      </c>
      <c r="G35" s="328">
        <v>101</v>
      </c>
      <c r="H35" s="326"/>
      <c r="I35" s="329" t="str">
        <f>'登録'!AS35</f>
        <v>長谷川 進</v>
      </c>
      <c r="J35" s="330" t="str">
        <f>'登録'!AT35</f>
        <v>NRC</v>
      </c>
      <c r="L35" s="316" t="s">
        <v>180</v>
      </c>
    </row>
    <row r="36" spans="2:12" ht="15.75" customHeight="1" thickBot="1">
      <c r="B36" s="433">
        <f>'登録'!AN36</f>
        <v>35</v>
      </c>
      <c r="C36" s="331" t="str">
        <f>'登録'!AQ36</f>
        <v>WRC</v>
      </c>
      <c r="D36" s="332" t="str">
        <f>'登録'!AR36</f>
        <v>松房ゆかり</v>
      </c>
      <c r="E36" s="333"/>
      <c r="F36" s="469" t="s">
        <v>181</v>
      </c>
      <c r="G36" s="335">
        <v>45</v>
      </c>
      <c r="H36" s="333"/>
      <c r="I36" s="336" t="str">
        <f>'登録'!AS36</f>
        <v>宮野 早織</v>
      </c>
      <c r="J36" s="337" t="str">
        <f>'登録'!AT36</f>
        <v>NRC</v>
      </c>
      <c r="L36" s="316" t="s">
        <v>180</v>
      </c>
    </row>
    <row r="37" spans="2:12" ht="15.75" customHeight="1">
      <c r="B37" s="431">
        <f>'登録'!AN37</f>
        <v>36</v>
      </c>
      <c r="C37" s="317" t="str">
        <f>'登録'!AQ37</f>
        <v>KRC</v>
      </c>
      <c r="D37" s="318" t="str">
        <f>'登録'!AR37</f>
        <v>折戸 和幸</v>
      </c>
      <c r="E37" s="319"/>
      <c r="F37" s="320" t="s">
        <v>181</v>
      </c>
      <c r="G37" s="321">
        <v>14</v>
      </c>
      <c r="H37" s="319"/>
      <c r="I37" s="322" t="str">
        <f>'登録'!AS37</f>
        <v>西峰 久祐</v>
      </c>
      <c r="J37" s="323" t="str">
        <f>'登録'!AT37</f>
        <v>SBC</v>
      </c>
      <c r="L37" s="316" t="s">
        <v>180</v>
      </c>
    </row>
    <row r="38" spans="2:12" ht="15.75" customHeight="1">
      <c r="B38" s="432">
        <f>'登録'!AN38</f>
        <v>37</v>
      </c>
      <c r="C38" s="324" t="str">
        <f>'登録'!AQ38</f>
        <v>KRC</v>
      </c>
      <c r="D38" s="325" t="str">
        <f>'登録'!AR38</f>
        <v>今村 哲也</v>
      </c>
      <c r="E38" s="326"/>
      <c r="F38" s="470">
        <v>80</v>
      </c>
      <c r="G38" s="328" t="s">
        <v>181</v>
      </c>
      <c r="H38" s="326"/>
      <c r="I38" s="329" t="str">
        <f>'登録'!AS38</f>
        <v>長田 智紀</v>
      </c>
      <c r="J38" s="330" t="str">
        <f>'登録'!AT38</f>
        <v>SBC</v>
      </c>
      <c r="L38" s="316" t="s">
        <v>180</v>
      </c>
    </row>
    <row r="39" spans="2:12" ht="15.75" customHeight="1">
      <c r="B39" s="432">
        <f>'登録'!AN39</f>
        <v>38</v>
      </c>
      <c r="C39" s="324" t="str">
        <f>'登録'!AQ39</f>
        <v>KRC</v>
      </c>
      <c r="D39" s="325" t="str">
        <f>'登録'!AR39</f>
        <v>小山 久博</v>
      </c>
      <c r="E39" s="326"/>
      <c r="F39" s="327">
        <v>18</v>
      </c>
      <c r="G39" s="328" t="s">
        <v>181</v>
      </c>
      <c r="H39" s="326"/>
      <c r="I39" s="329" t="str">
        <f>'登録'!AS39</f>
        <v>大橋 義治</v>
      </c>
      <c r="J39" s="330" t="str">
        <f>'登録'!AT39</f>
        <v>SBC</v>
      </c>
      <c r="L39" s="316" t="s">
        <v>180</v>
      </c>
    </row>
    <row r="40" spans="2:12" ht="15.75" customHeight="1">
      <c r="B40" s="432">
        <f>'登録'!AN40</f>
        <v>39</v>
      </c>
      <c r="C40" s="324" t="str">
        <f>'登録'!AQ40</f>
        <v>KRC</v>
      </c>
      <c r="D40" s="325" t="str">
        <f>'登録'!AR40</f>
        <v>伊庭 保久</v>
      </c>
      <c r="E40" s="326"/>
      <c r="F40" s="470">
        <v>36</v>
      </c>
      <c r="G40" s="328" t="s">
        <v>181</v>
      </c>
      <c r="H40" s="326"/>
      <c r="I40" s="329" t="str">
        <f>'登録'!AS40</f>
        <v>山中 康寛</v>
      </c>
      <c r="J40" s="330" t="str">
        <f>'登録'!AT40</f>
        <v>SBC</v>
      </c>
      <c r="L40" s="316" t="s">
        <v>180</v>
      </c>
    </row>
    <row r="41" spans="2:12" ht="15.75" customHeight="1">
      <c r="B41" s="432">
        <f>'登録'!AN41</f>
        <v>40</v>
      </c>
      <c r="C41" s="324" t="str">
        <f>'登録'!AQ41</f>
        <v>KRC</v>
      </c>
      <c r="D41" s="325" t="str">
        <f>'登録'!AR41</f>
        <v>菊池 靖正</v>
      </c>
      <c r="E41" s="326"/>
      <c r="F41" s="327" t="s">
        <v>181</v>
      </c>
      <c r="G41" s="328">
        <v>96</v>
      </c>
      <c r="H41" s="326"/>
      <c r="I41" s="329" t="str">
        <f>'登録'!AS41</f>
        <v>高島 太一</v>
      </c>
      <c r="J41" s="330" t="str">
        <f>'登録'!AT41</f>
        <v>SBC</v>
      </c>
      <c r="L41" s="316" t="s">
        <v>180</v>
      </c>
    </row>
    <row r="42" spans="2:12" ht="15.75" customHeight="1">
      <c r="B42" s="432">
        <f>'登録'!AN42</f>
        <v>41</v>
      </c>
      <c r="C42" s="324" t="str">
        <f>'登録'!AQ42</f>
        <v>KRC</v>
      </c>
      <c r="D42" s="325" t="str">
        <f>'登録'!AR42</f>
        <v>田附 裕次</v>
      </c>
      <c r="E42" s="326"/>
      <c r="F42" s="470" t="s">
        <v>181</v>
      </c>
      <c r="G42" s="328">
        <v>0</v>
      </c>
      <c r="H42" s="326"/>
      <c r="I42" s="329" t="str">
        <f>'登録'!AS42</f>
        <v>須藤 浩章</v>
      </c>
      <c r="J42" s="330" t="str">
        <f>'登録'!AT42</f>
        <v>SBC</v>
      </c>
      <c r="L42" s="316" t="s">
        <v>180</v>
      </c>
    </row>
    <row r="43" spans="2:12" ht="15.75" customHeight="1" thickBot="1">
      <c r="B43" s="433">
        <f>'登録'!AN43</f>
        <v>42</v>
      </c>
      <c r="C43" s="331" t="str">
        <f>'登録'!AQ43</f>
        <v>KRC</v>
      </c>
      <c r="D43" s="332" t="str">
        <f>'登録'!AR43</f>
        <v>森田由佳里</v>
      </c>
      <c r="E43" s="333"/>
      <c r="F43" s="469" t="s">
        <v>181</v>
      </c>
      <c r="G43" s="335">
        <v>68</v>
      </c>
      <c r="H43" s="333"/>
      <c r="I43" s="336" t="str">
        <f>'登録'!AS43</f>
        <v>酒井 美希</v>
      </c>
      <c r="J43" s="337" t="str">
        <f>'登録'!AT43</f>
        <v>SBC</v>
      </c>
      <c r="L43" s="316" t="s">
        <v>180</v>
      </c>
    </row>
    <row r="44" spans="2:12" ht="15.75" customHeight="1">
      <c r="B44" s="430">
        <f>'登録'!AN44</f>
        <v>43</v>
      </c>
      <c r="C44" s="317" t="str">
        <f>'登録'!AQ44</f>
        <v>WRC</v>
      </c>
      <c r="D44" s="318" t="str">
        <f>'登録'!AR44</f>
        <v>末岡　修</v>
      </c>
      <c r="E44" s="319"/>
      <c r="F44" s="320">
        <v>28</v>
      </c>
      <c r="G44" s="321" t="s">
        <v>181</v>
      </c>
      <c r="H44" s="319">
        <v>113</v>
      </c>
      <c r="I44" s="322" t="str">
        <f>'登録'!AS44</f>
        <v>堂園 雅也</v>
      </c>
      <c r="J44" s="323" t="str">
        <f>'登録'!AT44</f>
        <v>HRC</v>
      </c>
      <c r="L44" s="316" t="s">
        <v>180</v>
      </c>
    </row>
    <row r="45" spans="2:12" ht="15.75" customHeight="1">
      <c r="B45" s="428">
        <f>'登録'!AN45</f>
        <v>44</v>
      </c>
      <c r="C45" s="324" t="str">
        <f>'登録'!AQ45</f>
        <v>WRC</v>
      </c>
      <c r="D45" s="325" t="str">
        <f>'登録'!AR45</f>
        <v>杉本 博章</v>
      </c>
      <c r="E45" s="326"/>
      <c r="F45" s="470" t="s">
        <v>181</v>
      </c>
      <c r="G45" s="328">
        <v>83</v>
      </c>
      <c r="H45" s="326"/>
      <c r="I45" s="329" t="str">
        <f>'登録'!AS45</f>
        <v>長井　充</v>
      </c>
      <c r="J45" s="330" t="str">
        <f>'登録'!AT45</f>
        <v>HRC</v>
      </c>
      <c r="L45" s="316" t="s">
        <v>180</v>
      </c>
    </row>
    <row r="46" spans="2:12" ht="15.75" customHeight="1">
      <c r="B46" s="428">
        <f>'登録'!AN46</f>
        <v>45</v>
      </c>
      <c r="C46" s="324" t="str">
        <f>'登録'!AQ46</f>
        <v>WRC</v>
      </c>
      <c r="D46" s="325" t="str">
        <f>'登録'!AR46</f>
        <v>丹次 力良</v>
      </c>
      <c r="E46" s="326"/>
      <c r="F46" s="470">
        <v>30</v>
      </c>
      <c r="G46" s="328" t="s">
        <v>181</v>
      </c>
      <c r="H46" s="326"/>
      <c r="I46" s="329" t="str">
        <f>'登録'!AS46</f>
        <v>藤中健太郎</v>
      </c>
      <c r="J46" s="330" t="str">
        <f>'登録'!AT46</f>
        <v>HRC</v>
      </c>
      <c r="L46" s="316" t="s">
        <v>180</v>
      </c>
    </row>
    <row r="47" spans="2:12" ht="15.75" customHeight="1">
      <c r="B47" s="428">
        <f>'登録'!AN47</f>
        <v>46</v>
      </c>
      <c r="C47" s="324" t="str">
        <f>'登録'!AQ47</f>
        <v>WRC</v>
      </c>
      <c r="D47" s="325" t="str">
        <f>'登録'!AR47</f>
        <v>芝先 泰生</v>
      </c>
      <c r="E47" s="326"/>
      <c r="F47" s="470" t="s">
        <v>181</v>
      </c>
      <c r="G47" s="328">
        <v>2</v>
      </c>
      <c r="H47" s="326"/>
      <c r="I47" s="329" t="str">
        <f>'登録'!AS47</f>
        <v>後藤 勇治</v>
      </c>
      <c r="J47" s="330" t="str">
        <f>'登録'!AT47</f>
        <v>HRC</v>
      </c>
      <c r="L47" s="316" t="s">
        <v>180</v>
      </c>
    </row>
    <row r="48" spans="2:12" ht="15.75" customHeight="1">
      <c r="B48" s="428">
        <f>'登録'!AN48</f>
        <v>47</v>
      </c>
      <c r="C48" s="324" t="str">
        <f>'登録'!AQ48</f>
        <v>WRC</v>
      </c>
      <c r="D48" s="325" t="str">
        <f>'登録'!AR48</f>
        <v>岸上 賢一</v>
      </c>
      <c r="E48" s="326"/>
      <c r="F48" s="327">
        <v>76</v>
      </c>
      <c r="G48" s="328" t="s">
        <v>181</v>
      </c>
      <c r="H48" s="326"/>
      <c r="I48" s="329" t="str">
        <f>'登録'!AS48</f>
        <v>丹羽 俊也</v>
      </c>
      <c r="J48" s="330" t="str">
        <f>'登録'!AT48</f>
        <v>HRC</v>
      </c>
      <c r="L48" s="316" t="s">
        <v>180</v>
      </c>
    </row>
    <row r="49" spans="2:12" ht="15.75" customHeight="1">
      <c r="B49" s="428">
        <f>'登録'!AN49</f>
        <v>48</v>
      </c>
      <c r="C49" s="324" t="str">
        <f>'登録'!AQ49</f>
        <v>WRC</v>
      </c>
      <c r="D49" s="325" t="str">
        <f>'登録'!AR49</f>
        <v>中本 雅大</v>
      </c>
      <c r="E49" s="326"/>
      <c r="F49" s="327" t="s">
        <v>181</v>
      </c>
      <c r="G49" s="328">
        <v>32</v>
      </c>
      <c r="H49" s="326"/>
      <c r="I49" s="329" t="str">
        <f>'登録'!AS49</f>
        <v>平井 洸志</v>
      </c>
      <c r="J49" s="330" t="str">
        <f>'登録'!AT49</f>
        <v>HRC</v>
      </c>
      <c r="L49" s="316" t="s">
        <v>180</v>
      </c>
    </row>
    <row r="50" spans="2:12" ht="15.75" customHeight="1" thickBot="1">
      <c r="B50" s="429">
        <f>'登録'!AN50</f>
        <v>49</v>
      </c>
      <c r="C50" s="331" t="str">
        <f>'登録'!AQ50</f>
        <v>WRC</v>
      </c>
      <c r="D50" s="332" t="str">
        <f>'登録'!AR50</f>
        <v>松房ゆかり</v>
      </c>
      <c r="E50" s="333"/>
      <c r="F50" s="469" t="s">
        <v>181</v>
      </c>
      <c r="G50" s="335">
        <v>32</v>
      </c>
      <c r="H50" s="333"/>
      <c r="I50" s="336" t="str">
        <f>'登録'!AS50</f>
        <v>栃下 恭子</v>
      </c>
      <c r="J50" s="337" t="str">
        <f>'登録'!AT50</f>
        <v>HRC</v>
      </c>
      <c r="L50" s="316" t="s">
        <v>180</v>
      </c>
    </row>
    <row r="51" spans="2:12" ht="15.75" customHeight="1">
      <c r="B51" s="430">
        <f>'登録'!AN51</f>
        <v>50</v>
      </c>
      <c r="C51" s="317" t="str">
        <f>'登録'!AQ51</f>
        <v>SBC</v>
      </c>
      <c r="D51" s="318" t="str">
        <f>'登録'!AR51</f>
        <v>西峰 久祐</v>
      </c>
      <c r="E51" s="319"/>
      <c r="F51" s="471" t="s">
        <v>181</v>
      </c>
      <c r="G51" s="321">
        <v>81</v>
      </c>
      <c r="H51" s="319"/>
      <c r="I51" s="322" t="str">
        <f>'登録'!AS51</f>
        <v>村上 泰辰</v>
      </c>
      <c r="J51" s="323" t="str">
        <f>'登録'!AT51</f>
        <v>ORC</v>
      </c>
      <c r="L51" s="316" t="s">
        <v>180</v>
      </c>
    </row>
    <row r="52" spans="2:12" ht="15.75" customHeight="1">
      <c r="B52" s="428">
        <f>'登録'!AN52</f>
        <v>51</v>
      </c>
      <c r="C52" s="324" t="str">
        <f>'登録'!AQ52</f>
        <v>SBC</v>
      </c>
      <c r="D52" s="325" t="str">
        <f>'登録'!AR52</f>
        <v>長田 智紀</v>
      </c>
      <c r="E52" s="326"/>
      <c r="F52" s="470">
        <v>12</v>
      </c>
      <c r="G52" s="328" t="s">
        <v>181</v>
      </c>
      <c r="H52" s="326"/>
      <c r="I52" s="329" t="str">
        <f>'登録'!AS52</f>
        <v>乾　伸綱</v>
      </c>
      <c r="J52" s="330" t="str">
        <f>'登録'!AT52</f>
        <v>ORC</v>
      </c>
      <c r="L52" s="316" t="s">
        <v>180</v>
      </c>
    </row>
    <row r="53" spans="2:12" ht="15.75" customHeight="1">
      <c r="B53" s="428">
        <f>'登録'!AN53</f>
        <v>52</v>
      </c>
      <c r="C53" s="324" t="str">
        <f>'登録'!AQ53</f>
        <v>SBC</v>
      </c>
      <c r="D53" s="325" t="str">
        <f>'登録'!AR53</f>
        <v>大橋 義治</v>
      </c>
      <c r="E53" s="326"/>
      <c r="F53" s="470">
        <v>0</v>
      </c>
      <c r="G53" s="328" t="s">
        <v>181</v>
      </c>
      <c r="H53" s="326" t="s">
        <v>182</v>
      </c>
      <c r="I53" s="329" t="str">
        <f>'登録'!AS53</f>
        <v>吉岡 保俊</v>
      </c>
      <c r="J53" s="330" t="str">
        <f>'登録'!AT53</f>
        <v>ORC</v>
      </c>
      <c r="L53" s="316" t="s">
        <v>180</v>
      </c>
    </row>
    <row r="54" spans="2:12" ht="15.75" customHeight="1">
      <c r="B54" s="428">
        <f>'登録'!AN54</f>
        <v>53</v>
      </c>
      <c r="C54" s="324" t="str">
        <f>'登録'!AQ54</f>
        <v>SBC</v>
      </c>
      <c r="D54" s="325" t="str">
        <f>'登録'!AR54</f>
        <v>山中 康寛</v>
      </c>
      <c r="E54" s="326"/>
      <c r="F54" s="470">
        <v>56</v>
      </c>
      <c r="G54" s="328" t="s">
        <v>181</v>
      </c>
      <c r="H54" s="326"/>
      <c r="I54" s="329" t="str">
        <f>'登録'!AS54</f>
        <v>山田 玄英</v>
      </c>
      <c r="J54" s="330" t="str">
        <f>'登録'!AT54</f>
        <v>ORC</v>
      </c>
      <c r="L54" s="316" t="s">
        <v>180</v>
      </c>
    </row>
    <row r="55" spans="2:12" ht="15.75" customHeight="1">
      <c r="B55" s="428">
        <f>'登録'!AN55</f>
        <v>54</v>
      </c>
      <c r="C55" s="324" t="str">
        <f>'登録'!AQ55</f>
        <v>SBC</v>
      </c>
      <c r="D55" s="325" t="str">
        <f>'登録'!AR55</f>
        <v>高島 太一</v>
      </c>
      <c r="E55" s="326"/>
      <c r="F55" s="470">
        <v>81</v>
      </c>
      <c r="G55" s="328" t="s">
        <v>181</v>
      </c>
      <c r="H55" s="326"/>
      <c r="I55" s="329" t="str">
        <f>'登録'!AS55</f>
        <v>由本　拓</v>
      </c>
      <c r="J55" s="330" t="str">
        <f>'登録'!AT55</f>
        <v>ORC</v>
      </c>
      <c r="L55" s="316" t="s">
        <v>180</v>
      </c>
    </row>
    <row r="56" spans="2:12" ht="15.75" customHeight="1">
      <c r="B56" s="428">
        <f>'登録'!AN56</f>
        <v>55</v>
      </c>
      <c r="C56" s="324" t="str">
        <f>'登録'!AQ56</f>
        <v>SBC</v>
      </c>
      <c r="D56" s="325" t="str">
        <f>'登録'!AR56</f>
        <v>須藤 浩章</v>
      </c>
      <c r="E56" s="326"/>
      <c r="F56" s="470" t="s">
        <v>181</v>
      </c>
      <c r="G56" s="328">
        <v>66</v>
      </c>
      <c r="H56" s="326"/>
      <c r="I56" s="329" t="str">
        <f>'登録'!AS56</f>
        <v>田中 隆介</v>
      </c>
      <c r="J56" s="330" t="str">
        <f>'登録'!AT56</f>
        <v>ORC</v>
      </c>
      <c r="L56" s="316" t="s">
        <v>180</v>
      </c>
    </row>
    <row r="57" spans="2:12" ht="15.75" customHeight="1" thickBot="1">
      <c r="B57" s="429">
        <f>'登録'!AN57</f>
        <v>56</v>
      </c>
      <c r="C57" s="331" t="str">
        <f>'登録'!AQ57</f>
        <v>SBC</v>
      </c>
      <c r="D57" s="332" t="str">
        <f>'登録'!AR57</f>
        <v>酒井 美希</v>
      </c>
      <c r="E57" s="333"/>
      <c r="F57" s="469" t="s">
        <v>181</v>
      </c>
      <c r="G57" s="335">
        <v>27</v>
      </c>
      <c r="H57" s="333"/>
      <c r="I57" s="336" t="str">
        <f>'登録'!AS57</f>
        <v>西田 恵子</v>
      </c>
      <c r="J57" s="337" t="str">
        <f>'登録'!AT57</f>
        <v>ORC</v>
      </c>
      <c r="L57" s="316" t="s">
        <v>180</v>
      </c>
    </row>
    <row r="58" spans="2:12" ht="15.75" customHeight="1">
      <c r="B58" s="430">
        <f>'登録'!AN58</f>
        <v>57</v>
      </c>
      <c r="C58" s="317" t="str">
        <f>'登録'!AQ58</f>
        <v>KRC</v>
      </c>
      <c r="D58" s="318" t="str">
        <f>'登録'!AR58</f>
        <v>折戸 和幸</v>
      </c>
      <c r="E58" s="319"/>
      <c r="F58" s="471">
        <v>79</v>
      </c>
      <c r="G58" s="321" t="s">
        <v>181</v>
      </c>
      <c r="H58" s="319"/>
      <c r="I58" s="322" t="str">
        <f>'登録'!AS58</f>
        <v>白戸 玲人</v>
      </c>
      <c r="J58" s="323" t="str">
        <f>'登録'!AT58</f>
        <v>NRC</v>
      </c>
      <c r="L58" s="316" t="s">
        <v>180</v>
      </c>
    </row>
    <row r="59" spans="2:12" ht="15.75" customHeight="1">
      <c r="B59" s="428">
        <f>'登録'!AN59</f>
        <v>58</v>
      </c>
      <c r="C59" s="324" t="str">
        <f>'登録'!AQ59</f>
        <v>KRC</v>
      </c>
      <c r="D59" s="325" t="str">
        <f>'登録'!AR59</f>
        <v>今村 哲也</v>
      </c>
      <c r="E59" s="326"/>
      <c r="F59" s="470" t="s">
        <v>181</v>
      </c>
      <c r="G59" s="328">
        <v>106</v>
      </c>
      <c r="H59" s="326"/>
      <c r="I59" s="329" t="str">
        <f>'登録'!AS59</f>
        <v>近藤 拓馬</v>
      </c>
      <c r="J59" s="330" t="str">
        <f>'登録'!AT59</f>
        <v>NRC</v>
      </c>
      <c r="L59" s="316" t="s">
        <v>180</v>
      </c>
    </row>
    <row r="60" spans="2:12" ht="15.75" customHeight="1">
      <c r="B60" s="428">
        <f>'登録'!AN60</f>
        <v>59</v>
      </c>
      <c r="C60" s="324" t="str">
        <f>'登録'!AQ60</f>
        <v>KRC</v>
      </c>
      <c r="D60" s="325" t="str">
        <f>'登録'!AR60</f>
        <v>小山 久博</v>
      </c>
      <c r="E60" s="326"/>
      <c r="F60" s="470">
        <v>23</v>
      </c>
      <c r="G60" s="328" t="s">
        <v>181</v>
      </c>
      <c r="H60" s="326">
        <v>103</v>
      </c>
      <c r="I60" s="329" t="str">
        <f>'登録'!AS60</f>
        <v>吉向 翔平</v>
      </c>
      <c r="J60" s="330" t="str">
        <f>'登録'!AT60</f>
        <v>NRC</v>
      </c>
      <c r="L60" s="316" t="s">
        <v>180</v>
      </c>
    </row>
    <row r="61" spans="2:12" ht="15.75" customHeight="1">
      <c r="B61" s="428">
        <f>'登録'!AN61</f>
        <v>60</v>
      </c>
      <c r="C61" s="324" t="str">
        <f>'登録'!AQ61</f>
        <v>KRC</v>
      </c>
      <c r="D61" s="325" t="str">
        <f>'登録'!AR61</f>
        <v>伊庭 保久</v>
      </c>
      <c r="E61" s="326"/>
      <c r="F61" s="470">
        <v>35</v>
      </c>
      <c r="G61" s="328" t="s">
        <v>181</v>
      </c>
      <c r="H61" s="326"/>
      <c r="I61" s="329" t="str">
        <f>'登録'!AS61</f>
        <v>山田 普之</v>
      </c>
      <c r="J61" s="330" t="str">
        <f>'登録'!AT61</f>
        <v>NRC</v>
      </c>
      <c r="L61" s="316" t="s">
        <v>180</v>
      </c>
    </row>
    <row r="62" spans="2:12" ht="15.75" customHeight="1">
      <c r="B62" s="428">
        <f>'登録'!AN62</f>
        <v>61</v>
      </c>
      <c r="C62" s="324" t="str">
        <f>'登録'!AQ62</f>
        <v>KRC</v>
      </c>
      <c r="D62" s="325" t="str">
        <f>'登録'!AR62</f>
        <v>菊池 靖正</v>
      </c>
      <c r="E62" s="380"/>
      <c r="F62" s="470" t="s">
        <v>181</v>
      </c>
      <c r="G62" s="328">
        <v>43</v>
      </c>
      <c r="H62" s="326"/>
      <c r="I62" s="329" t="str">
        <f>'登録'!AS62</f>
        <v>山田 晃司</v>
      </c>
      <c r="J62" s="330" t="str">
        <f>'登録'!AT62</f>
        <v>NRC</v>
      </c>
      <c r="L62" s="316" t="s">
        <v>180</v>
      </c>
    </row>
    <row r="63" spans="2:12" ht="15.75" customHeight="1">
      <c r="B63" s="428">
        <f>'登録'!AN63</f>
        <v>62</v>
      </c>
      <c r="C63" s="324" t="str">
        <f>'登録'!AQ63</f>
        <v>KRC</v>
      </c>
      <c r="D63" s="325" t="str">
        <f>'登録'!AR63</f>
        <v>田附 裕次</v>
      </c>
      <c r="E63" s="326"/>
      <c r="F63" s="470" t="s">
        <v>181</v>
      </c>
      <c r="G63" s="328">
        <v>98</v>
      </c>
      <c r="H63" s="326"/>
      <c r="I63" s="329" t="str">
        <f>'登録'!AS63</f>
        <v>長谷川 進</v>
      </c>
      <c r="J63" s="330" t="str">
        <f>'登録'!AT63</f>
        <v>NRC</v>
      </c>
      <c r="L63" s="316" t="s">
        <v>180</v>
      </c>
    </row>
    <row r="64" spans="2:12" ht="15.75" customHeight="1" thickBot="1">
      <c r="B64" s="429">
        <f>'登録'!AN64</f>
        <v>63</v>
      </c>
      <c r="C64" s="331" t="str">
        <f>'登録'!AQ64</f>
        <v>KRC</v>
      </c>
      <c r="D64" s="332" t="str">
        <f>'登録'!AR64</f>
        <v>森田由佳里</v>
      </c>
      <c r="E64" s="333"/>
      <c r="F64" s="469" t="s">
        <v>181</v>
      </c>
      <c r="G64" s="335">
        <v>69</v>
      </c>
      <c r="H64" s="333"/>
      <c r="I64" s="336" t="str">
        <f>'登録'!AS64</f>
        <v>宮野 早織</v>
      </c>
      <c r="J64" s="337" t="str">
        <f>'登録'!AT64</f>
        <v>NRC</v>
      </c>
      <c r="L64" s="316" t="s">
        <v>180</v>
      </c>
    </row>
    <row r="65" spans="2:12" ht="15.75" customHeight="1">
      <c r="B65" s="431">
        <f>'登録'!AN65</f>
        <v>64</v>
      </c>
      <c r="C65" s="317" t="str">
        <f>'登録'!AQ65</f>
        <v>SBC</v>
      </c>
      <c r="D65" s="318" t="str">
        <f>'登録'!AR65</f>
        <v>西峰 久祐</v>
      </c>
      <c r="E65" s="319"/>
      <c r="F65" s="471">
        <v>6</v>
      </c>
      <c r="G65" s="321" t="s">
        <v>181</v>
      </c>
      <c r="H65" s="319"/>
      <c r="I65" s="322" t="str">
        <f>'登録'!AS65</f>
        <v>末岡　修</v>
      </c>
      <c r="J65" s="323" t="str">
        <f>'登録'!AT65</f>
        <v>WRC</v>
      </c>
      <c r="L65" s="316" t="s">
        <v>180</v>
      </c>
    </row>
    <row r="66" spans="2:12" ht="15.75" customHeight="1">
      <c r="B66" s="432">
        <f>'登録'!AN66</f>
        <v>65</v>
      </c>
      <c r="C66" s="324" t="str">
        <f>'登録'!AQ66</f>
        <v>SBC</v>
      </c>
      <c r="D66" s="325" t="str">
        <f>'登録'!AR66</f>
        <v>長田 智紀</v>
      </c>
      <c r="E66" s="326"/>
      <c r="F66" s="470">
        <v>79</v>
      </c>
      <c r="G66" s="328" t="s">
        <v>181</v>
      </c>
      <c r="H66" s="326"/>
      <c r="I66" s="329" t="str">
        <f>'登録'!AS66</f>
        <v>杉本 博章</v>
      </c>
      <c r="J66" s="330" t="str">
        <f>'登録'!AT66</f>
        <v>WRC</v>
      </c>
      <c r="L66" s="316" t="s">
        <v>180</v>
      </c>
    </row>
    <row r="67" spans="2:12" ht="15.75" customHeight="1">
      <c r="B67" s="432">
        <f>'登録'!AN67</f>
        <v>66</v>
      </c>
      <c r="C67" s="324" t="str">
        <f>'登録'!AQ67</f>
        <v>SBC</v>
      </c>
      <c r="D67" s="325" t="str">
        <f>'登録'!AR67</f>
        <v>大橋 義治</v>
      </c>
      <c r="E67" s="326"/>
      <c r="F67" s="470">
        <v>71</v>
      </c>
      <c r="G67" s="328" t="s">
        <v>181</v>
      </c>
      <c r="H67" s="326"/>
      <c r="I67" s="329" t="str">
        <f>'登録'!AS67</f>
        <v>丹次 力良</v>
      </c>
      <c r="J67" s="330" t="str">
        <f>'登録'!AT67</f>
        <v>WRC</v>
      </c>
      <c r="L67" s="316" t="s">
        <v>180</v>
      </c>
    </row>
    <row r="68" spans="2:12" ht="15.75" customHeight="1">
      <c r="B68" s="432">
        <f>'登録'!AN68</f>
        <v>67</v>
      </c>
      <c r="C68" s="324" t="str">
        <f>'登録'!AQ68</f>
        <v>SBC</v>
      </c>
      <c r="D68" s="325" t="str">
        <f>'登録'!AR68</f>
        <v>山中 康寛</v>
      </c>
      <c r="E68" s="326"/>
      <c r="F68" s="470" t="s">
        <v>181</v>
      </c>
      <c r="G68" s="328">
        <v>108</v>
      </c>
      <c r="H68" s="326"/>
      <c r="I68" s="329" t="str">
        <f>'登録'!AS68</f>
        <v>芝先 泰生</v>
      </c>
      <c r="J68" s="330" t="str">
        <f>'登録'!AT68</f>
        <v>WRC</v>
      </c>
      <c r="L68" s="316" t="s">
        <v>180</v>
      </c>
    </row>
    <row r="69" spans="2:12" ht="15.75" customHeight="1">
      <c r="B69" s="432">
        <f>'登録'!AN69</f>
        <v>68</v>
      </c>
      <c r="C69" s="324" t="str">
        <f>'登録'!AQ69</f>
        <v>SBC</v>
      </c>
      <c r="D69" s="325" t="str">
        <f>'登録'!AR69</f>
        <v>高島 太一</v>
      </c>
      <c r="E69" s="326"/>
      <c r="F69" s="470">
        <v>95</v>
      </c>
      <c r="G69" s="328" t="s">
        <v>181</v>
      </c>
      <c r="H69" s="326"/>
      <c r="I69" s="329" t="str">
        <f>'登録'!AS69</f>
        <v>岸上 賢一</v>
      </c>
      <c r="J69" s="330" t="str">
        <f>'登録'!AT69</f>
        <v>WRC</v>
      </c>
      <c r="L69" s="316" t="s">
        <v>180</v>
      </c>
    </row>
    <row r="70" spans="2:12" ht="15.75" customHeight="1">
      <c r="B70" s="432">
        <f>'登録'!AN70</f>
        <v>69</v>
      </c>
      <c r="C70" s="324" t="str">
        <f>'登録'!AQ70</f>
        <v>SBC</v>
      </c>
      <c r="D70" s="325" t="str">
        <f>'登録'!AR70</f>
        <v>須藤 浩章</v>
      </c>
      <c r="E70" s="326"/>
      <c r="F70" s="470" t="s">
        <v>181</v>
      </c>
      <c r="G70" s="328">
        <v>32</v>
      </c>
      <c r="H70" s="326"/>
      <c r="I70" s="329" t="str">
        <f>'登録'!AS70</f>
        <v>中本 雅大</v>
      </c>
      <c r="J70" s="330" t="str">
        <f>'登録'!AT70</f>
        <v>WRC</v>
      </c>
      <c r="L70" s="316" t="s">
        <v>180</v>
      </c>
    </row>
    <row r="71" spans="2:12" ht="15.75" customHeight="1" thickBot="1">
      <c r="B71" s="433">
        <f>'登録'!AN71</f>
        <v>70</v>
      </c>
      <c r="C71" s="331" t="str">
        <f>'登録'!AQ71</f>
        <v>SBC</v>
      </c>
      <c r="D71" s="332" t="str">
        <f>'登録'!AR71</f>
        <v>酒井 美希</v>
      </c>
      <c r="E71" s="333"/>
      <c r="F71" s="469">
        <v>6</v>
      </c>
      <c r="G71" s="335" t="s">
        <v>181</v>
      </c>
      <c r="H71" s="333"/>
      <c r="I71" s="336" t="str">
        <f>'登録'!AS71</f>
        <v>松房ゆかり</v>
      </c>
      <c r="J71" s="337" t="str">
        <f>'登録'!AT71</f>
        <v>WRC</v>
      </c>
      <c r="L71" s="316" t="s">
        <v>180</v>
      </c>
    </row>
    <row r="72" spans="2:12" ht="15.75" customHeight="1">
      <c r="B72" s="431">
        <f>'登録'!AN72</f>
        <v>71</v>
      </c>
      <c r="C72" s="317" t="str">
        <f>'登録'!AQ72</f>
        <v>NRC</v>
      </c>
      <c r="D72" s="318" t="str">
        <f>'登録'!AR72</f>
        <v>白戸 玲人</v>
      </c>
      <c r="E72" s="319"/>
      <c r="F72" s="471" t="s">
        <v>181</v>
      </c>
      <c r="G72" s="321">
        <v>70</v>
      </c>
      <c r="H72" s="319"/>
      <c r="I72" s="322" t="str">
        <f>'登録'!AS72</f>
        <v>堂園 雅也</v>
      </c>
      <c r="J72" s="323" t="str">
        <f>'登録'!AT72</f>
        <v>HRC</v>
      </c>
      <c r="L72" s="316" t="s">
        <v>180</v>
      </c>
    </row>
    <row r="73" spans="2:12" ht="15.75" customHeight="1">
      <c r="B73" s="432">
        <f>'登録'!AN73</f>
        <v>72</v>
      </c>
      <c r="C73" s="324" t="str">
        <f>'登録'!AQ73</f>
        <v>NRC</v>
      </c>
      <c r="D73" s="325" t="str">
        <f>'登録'!AR73</f>
        <v>近藤 拓馬</v>
      </c>
      <c r="E73" s="326"/>
      <c r="F73" s="470">
        <v>52</v>
      </c>
      <c r="G73" s="328" t="s">
        <v>181</v>
      </c>
      <c r="H73" s="326"/>
      <c r="I73" s="329" t="str">
        <f>'登録'!AS73</f>
        <v>長井　充</v>
      </c>
      <c r="J73" s="330" t="str">
        <f>'登録'!AT73</f>
        <v>HRC</v>
      </c>
      <c r="L73" s="316" t="s">
        <v>180</v>
      </c>
    </row>
    <row r="74" spans="2:12" ht="15.75" customHeight="1">
      <c r="B74" s="432">
        <f>'登録'!AN74</f>
        <v>73</v>
      </c>
      <c r="C74" s="324" t="str">
        <f>'登録'!AQ74</f>
        <v>NRC</v>
      </c>
      <c r="D74" s="325" t="str">
        <f>'登録'!AR74</f>
        <v>吉向 翔平</v>
      </c>
      <c r="E74" s="326"/>
      <c r="F74" s="470" t="s">
        <v>181</v>
      </c>
      <c r="G74" s="328">
        <v>56</v>
      </c>
      <c r="H74" s="326"/>
      <c r="I74" s="329" t="str">
        <f>'登録'!AS74</f>
        <v>藤中健太郎</v>
      </c>
      <c r="J74" s="330" t="str">
        <f>'登録'!AT74</f>
        <v>HRC</v>
      </c>
      <c r="L74" s="316" t="s">
        <v>180</v>
      </c>
    </row>
    <row r="75" spans="2:12" ht="15.75" customHeight="1">
      <c r="B75" s="432">
        <f>'登録'!AN75</f>
        <v>74</v>
      </c>
      <c r="C75" s="324" t="str">
        <f>'登録'!AQ75</f>
        <v>NRC</v>
      </c>
      <c r="D75" s="325" t="str">
        <f>'登録'!AR75</f>
        <v>山田 普之</v>
      </c>
      <c r="E75" s="326"/>
      <c r="F75" s="470" t="s">
        <v>181</v>
      </c>
      <c r="G75" s="328">
        <v>28</v>
      </c>
      <c r="H75" s="326"/>
      <c r="I75" s="329" t="str">
        <f>'登録'!AS75</f>
        <v>後藤 勇治</v>
      </c>
      <c r="J75" s="330" t="str">
        <f>'登録'!AT75</f>
        <v>HRC</v>
      </c>
      <c r="L75" s="316" t="s">
        <v>180</v>
      </c>
    </row>
    <row r="76" spans="2:12" ht="15.75" customHeight="1">
      <c r="B76" s="432">
        <f>'登録'!AN76</f>
        <v>75</v>
      </c>
      <c r="C76" s="324" t="str">
        <f>'登録'!AQ76</f>
        <v>NRC</v>
      </c>
      <c r="D76" s="325" t="str">
        <f>'登録'!AR76</f>
        <v>山田 晃司</v>
      </c>
      <c r="E76" s="326"/>
      <c r="F76" s="470" t="s">
        <v>181</v>
      </c>
      <c r="G76" s="328">
        <v>52</v>
      </c>
      <c r="H76" s="326"/>
      <c r="I76" s="329" t="str">
        <f>'登録'!AS76</f>
        <v>丹羽 俊也</v>
      </c>
      <c r="J76" s="330" t="str">
        <f>'登録'!AT76</f>
        <v>HRC</v>
      </c>
      <c r="L76" s="316" t="s">
        <v>180</v>
      </c>
    </row>
    <row r="77" spans="2:12" ht="15.75" customHeight="1">
      <c r="B77" s="432">
        <f>'登録'!AN77</f>
        <v>76</v>
      </c>
      <c r="C77" s="324" t="str">
        <f>'登録'!AQ77</f>
        <v>NRC</v>
      </c>
      <c r="D77" s="325" t="str">
        <f>'登録'!AR77</f>
        <v>長谷川 進</v>
      </c>
      <c r="E77" s="326"/>
      <c r="F77" s="470" t="s">
        <v>180</v>
      </c>
      <c r="G77" s="328" t="s">
        <v>181</v>
      </c>
      <c r="H77" s="326"/>
      <c r="I77" s="329" t="str">
        <f>'登録'!AS77</f>
        <v>平井 洸志</v>
      </c>
      <c r="J77" s="330" t="str">
        <f>'登録'!AT77</f>
        <v>HRC</v>
      </c>
      <c r="L77" s="316" t="s">
        <v>180</v>
      </c>
    </row>
    <row r="78" spans="2:12" ht="15.75" customHeight="1" thickBot="1">
      <c r="B78" s="433">
        <f>'登録'!AN78</f>
        <v>77</v>
      </c>
      <c r="C78" s="331" t="str">
        <f>'登録'!AQ78</f>
        <v>NRC</v>
      </c>
      <c r="D78" s="332" t="str">
        <f>'登録'!AR78</f>
        <v>宮野 早織</v>
      </c>
      <c r="E78" s="333"/>
      <c r="F78" s="469" t="s">
        <v>181</v>
      </c>
      <c r="G78" s="335">
        <v>24</v>
      </c>
      <c r="H78" s="333"/>
      <c r="I78" s="336" t="str">
        <f>'登録'!AS78</f>
        <v>栃下 恭子</v>
      </c>
      <c r="J78" s="337" t="str">
        <f>'登録'!AT78</f>
        <v>HRC</v>
      </c>
      <c r="L78" s="316" t="s">
        <v>180</v>
      </c>
    </row>
    <row r="79" spans="2:12" ht="15.75" customHeight="1">
      <c r="B79" s="431">
        <f>'登録'!AN79</f>
        <v>78</v>
      </c>
      <c r="C79" s="317" t="str">
        <f>'登録'!AQ79</f>
        <v>KRC</v>
      </c>
      <c r="D79" s="318" t="str">
        <f>'登録'!AR79</f>
        <v>折戸 和幸</v>
      </c>
      <c r="E79" s="319"/>
      <c r="F79" s="471">
        <v>67</v>
      </c>
      <c r="G79" s="321" t="s">
        <v>181</v>
      </c>
      <c r="H79" s="319"/>
      <c r="I79" s="322" t="str">
        <f>'登録'!AS79</f>
        <v>村上 泰辰</v>
      </c>
      <c r="J79" s="323" t="str">
        <f>'登録'!AT79</f>
        <v>ORC</v>
      </c>
      <c r="L79" s="316" t="s">
        <v>180</v>
      </c>
    </row>
    <row r="80" spans="2:12" ht="15.75" customHeight="1">
      <c r="B80" s="432">
        <f>'登録'!AN80</f>
        <v>79</v>
      </c>
      <c r="C80" s="324" t="str">
        <f>'登録'!AQ80</f>
        <v>KRC</v>
      </c>
      <c r="D80" s="325" t="str">
        <f>'登録'!AR80</f>
        <v>今村 哲也</v>
      </c>
      <c r="E80" s="326"/>
      <c r="F80" s="470">
        <v>36</v>
      </c>
      <c r="G80" s="328" t="s">
        <v>181</v>
      </c>
      <c r="H80" s="326"/>
      <c r="I80" s="329" t="str">
        <f>'登録'!AS80</f>
        <v>乾　伸綱</v>
      </c>
      <c r="J80" s="330" t="str">
        <f>'登録'!AT80</f>
        <v>ORC</v>
      </c>
      <c r="L80" s="316" t="s">
        <v>180</v>
      </c>
    </row>
    <row r="81" spans="2:12" ht="15.75" customHeight="1">
      <c r="B81" s="432">
        <f>'登録'!AN81</f>
        <v>80</v>
      </c>
      <c r="C81" s="324" t="str">
        <f>'登録'!AQ81</f>
        <v>KRC</v>
      </c>
      <c r="D81" s="325" t="str">
        <f>'登録'!AR81</f>
        <v>小山 久博</v>
      </c>
      <c r="E81" s="326"/>
      <c r="F81" s="470" t="s">
        <v>181</v>
      </c>
      <c r="G81" s="328">
        <v>71</v>
      </c>
      <c r="H81" s="326"/>
      <c r="I81" s="329" t="str">
        <f>'登録'!AS81</f>
        <v>吉岡 保俊</v>
      </c>
      <c r="J81" s="330" t="str">
        <f>'登録'!AT81</f>
        <v>ORC</v>
      </c>
      <c r="L81" s="316" t="s">
        <v>180</v>
      </c>
    </row>
    <row r="82" spans="2:12" ht="15.75" customHeight="1">
      <c r="B82" s="432">
        <f>'登録'!AN82</f>
        <v>81</v>
      </c>
      <c r="C82" s="324" t="str">
        <f>'登録'!AQ82</f>
        <v>KRC</v>
      </c>
      <c r="D82" s="325" t="str">
        <f>'登録'!AR82</f>
        <v>伊庭 保久</v>
      </c>
      <c r="E82" s="326"/>
      <c r="F82" s="470">
        <v>11</v>
      </c>
      <c r="G82" s="328" t="s">
        <v>181</v>
      </c>
      <c r="H82" s="326"/>
      <c r="I82" s="329" t="str">
        <f>'登録'!AS82</f>
        <v>山田 玄英</v>
      </c>
      <c r="J82" s="330" t="str">
        <f>'登録'!AT82</f>
        <v>ORC</v>
      </c>
      <c r="L82" s="316" t="s">
        <v>180</v>
      </c>
    </row>
    <row r="83" spans="2:12" ht="15.75" customHeight="1">
      <c r="B83" s="432">
        <f>'登録'!AN83</f>
        <v>82</v>
      </c>
      <c r="C83" s="324" t="str">
        <f>'登録'!AQ83</f>
        <v>KRC</v>
      </c>
      <c r="D83" s="325" t="str">
        <f>'登録'!AR83</f>
        <v>菊池 靖正</v>
      </c>
      <c r="E83" s="326"/>
      <c r="F83" s="470">
        <v>79</v>
      </c>
      <c r="G83" s="328" t="s">
        <v>181</v>
      </c>
      <c r="H83" s="326"/>
      <c r="I83" s="329" t="str">
        <f>'登録'!AS83</f>
        <v>由本　拓</v>
      </c>
      <c r="J83" s="330" t="str">
        <f>'登録'!AT83</f>
        <v>ORC</v>
      </c>
      <c r="L83" s="316" t="s">
        <v>180</v>
      </c>
    </row>
    <row r="84" spans="2:12" ht="15.75" customHeight="1">
      <c r="B84" s="432">
        <f>'登録'!AN84</f>
        <v>83</v>
      </c>
      <c r="C84" s="324" t="str">
        <f>'登録'!AQ84</f>
        <v>KRC</v>
      </c>
      <c r="D84" s="325" t="str">
        <f>'登録'!AR84</f>
        <v>田附 裕次</v>
      </c>
      <c r="E84" s="326" t="s">
        <v>183</v>
      </c>
      <c r="F84" s="470" t="s">
        <v>181</v>
      </c>
      <c r="G84" s="328">
        <v>0</v>
      </c>
      <c r="H84" s="326"/>
      <c r="I84" s="329" t="str">
        <f>'登録'!AS84</f>
        <v>田中 隆介</v>
      </c>
      <c r="J84" s="330" t="str">
        <f>'登録'!AT84</f>
        <v>ORC</v>
      </c>
      <c r="L84" s="316" t="s">
        <v>180</v>
      </c>
    </row>
    <row r="85" spans="2:12" ht="15.75" customHeight="1" thickBot="1">
      <c r="B85" s="433">
        <f>'登録'!AN85</f>
        <v>84</v>
      </c>
      <c r="C85" s="331" t="str">
        <f>'登録'!AQ85</f>
        <v>KRC</v>
      </c>
      <c r="D85" s="332" t="str">
        <f>'登録'!AR85</f>
        <v>森田由佳里</v>
      </c>
      <c r="E85" s="333"/>
      <c r="F85" s="469" t="s">
        <v>181</v>
      </c>
      <c r="G85" s="335">
        <v>62</v>
      </c>
      <c r="H85" s="333"/>
      <c r="I85" s="336" t="str">
        <f>'登録'!AS85</f>
        <v>西田 恵子</v>
      </c>
      <c r="J85" s="337" t="str">
        <f>'登録'!AT85</f>
        <v>ORC</v>
      </c>
      <c r="L85" s="316" t="s">
        <v>180</v>
      </c>
    </row>
    <row r="86" spans="2:12" ht="15.75" customHeight="1">
      <c r="B86" s="430">
        <f>'登録'!AN86</f>
        <v>85</v>
      </c>
      <c r="C86" s="317" t="str">
        <f>'登録'!AQ86</f>
        <v>NRC</v>
      </c>
      <c r="D86" s="318" t="str">
        <f>'登録'!AR86</f>
        <v>白戸 玲人</v>
      </c>
      <c r="E86" s="319">
        <v>120</v>
      </c>
      <c r="F86" s="471" t="s">
        <v>181</v>
      </c>
      <c r="G86" s="321">
        <v>45</v>
      </c>
      <c r="H86" s="319"/>
      <c r="I86" s="322" t="str">
        <f>'登録'!AS86</f>
        <v>西峰 久祐</v>
      </c>
      <c r="J86" s="323" t="str">
        <f>'登録'!AT86</f>
        <v>SBC</v>
      </c>
      <c r="L86" s="316" t="s">
        <v>180</v>
      </c>
    </row>
    <row r="87" spans="2:12" ht="15.75" customHeight="1">
      <c r="B87" s="428">
        <f>'登録'!AN87</f>
        <v>86</v>
      </c>
      <c r="C87" s="324" t="str">
        <f>'登録'!AQ87</f>
        <v>NRC</v>
      </c>
      <c r="D87" s="325" t="str">
        <f>'登録'!AR87</f>
        <v>近藤 拓馬</v>
      </c>
      <c r="E87" s="326"/>
      <c r="F87" s="470">
        <v>91</v>
      </c>
      <c r="G87" s="328" t="s">
        <v>181</v>
      </c>
      <c r="H87" s="326"/>
      <c r="I87" s="329" t="str">
        <f>'登録'!AS87</f>
        <v>長田 智紀</v>
      </c>
      <c r="J87" s="330" t="str">
        <f>'登録'!AT87</f>
        <v>SBC</v>
      </c>
      <c r="L87" s="316" t="s">
        <v>180</v>
      </c>
    </row>
    <row r="88" spans="2:12" ht="15.75" customHeight="1">
      <c r="B88" s="428">
        <f>'登録'!AN88</f>
        <v>87</v>
      </c>
      <c r="C88" s="324" t="str">
        <f>'登録'!AQ88</f>
        <v>NRC</v>
      </c>
      <c r="D88" s="325" t="str">
        <f>'登録'!AR88</f>
        <v>吉向 翔平</v>
      </c>
      <c r="E88" s="326"/>
      <c r="F88" s="470" t="s">
        <v>181</v>
      </c>
      <c r="G88" s="328">
        <v>26</v>
      </c>
      <c r="H88" s="326"/>
      <c r="I88" s="329" t="str">
        <f>'登録'!AS88</f>
        <v>大橋 義治</v>
      </c>
      <c r="J88" s="330" t="str">
        <f>'登録'!AT88</f>
        <v>SBC</v>
      </c>
      <c r="L88" s="316" t="s">
        <v>180</v>
      </c>
    </row>
    <row r="89" spans="2:12" ht="15.75" customHeight="1">
      <c r="B89" s="428">
        <f>'登録'!AN89</f>
        <v>88</v>
      </c>
      <c r="C89" s="324" t="str">
        <f>'登録'!AQ89</f>
        <v>NRC</v>
      </c>
      <c r="D89" s="325" t="str">
        <f>'登録'!AR89</f>
        <v>山田 普之</v>
      </c>
      <c r="E89" s="326"/>
      <c r="F89" s="470">
        <v>41</v>
      </c>
      <c r="G89" s="328" t="s">
        <v>181</v>
      </c>
      <c r="H89" s="326"/>
      <c r="I89" s="329" t="str">
        <f>'登録'!AS89</f>
        <v>山中 康寛</v>
      </c>
      <c r="J89" s="330" t="str">
        <f>'登録'!AT89</f>
        <v>SBC</v>
      </c>
      <c r="L89" s="316" t="s">
        <v>180</v>
      </c>
    </row>
    <row r="90" spans="2:12" ht="15.75" customHeight="1">
      <c r="B90" s="428">
        <f>'登録'!AN90</f>
        <v>89</v>
      </c>
      <c r="C90" s="324" t="str">
        <f>'登録'!AQ90</f>
        <v>NRC</v>
      </c>
      <c r="D90" s="325" t="str">
        <f>'登録'!AR90</f>
        <v>山田 晃司</v>
      </c>
      <c r="E90" s="326"/>
      <c r="F90" s="470" t="s">
        <v>181</v>
      </c>
      <c r="G90" s="328">
        <v>25</v>
      </c>
      <c r="H90" s="326"/>
      <c r="I90" s="329" t="str">
        <f>'登録'!AS90</f>
        <v>高島 太一</v>
      </c>
      <c r="J90" s="330" t="str">
        <f>'登録'!AT90</f>
        <v>SBC</v>
      </c>
      <c r="L90" s="316" t="s">
        <v>180</v>
      </c>
    </row>
    <row r="91" spans="2:12" ht="15.75" customHeight="1">
      <c r="B91" s="428">
        <f>'登録'!AN91</f>
        <v>90</v>
      </c>
      <c r="C91" s="324" t="str">
        <f>'登録'!AQ91</f>
        <v>NRC</v>
      </c>
      <c r="D91" s="325" t="str">
        <f>'登録'!AR91</f>
        <v>長谷川 進</v>
      </c>
      <c r="E91" s="326"/>
      <c r="F91" s="470" t="s">
        <v>181</v>
      </c>
      <c r="G91" s="328">
        <v>76</v>
      </c>
      <c r="H91" s="326"/>
      <c r="I91" s="329" t="str">
        <f>'登録'!AS91</f>
        <v>須藤 浩章</v>
      </c>
      <c r="J91" s="330" t="str">
        <f>'登録'!AT91</f>
        <v>SBC</v>
      </c>
      <c r="L91" s="316" t="s">
        <v>180</v>
      </c>
    </row>
    <row r="92" spans="2:12" ht="15.75" customHeight="1" thickBot="1">
      <c r="B92" s="429">
        <f>'登録'!AN92</f>
        <v>91</v>
      </c>
      <c r="C92" s="331" t="str">
        <f>'登録'!AQ92</f>
        <v>NRC</v>
      </c>
      <c r="D92" s="332" t="str">
        <f>'登録'!AR92</f>
        <v>宮野 早織</v>
      </c>
      <c r="E92" s="333"/>
      <c r="F92" s="469">
        <v>60</v>
      </c>
      <c r="G92" s="335" t="s">
        <v>181</v>
      </c>
      <c r="H92" s="333"/>
      <c r="I92" s="336" t="str">
        <f>'登録'!AS92</f>
        <v>酒井 美希</v>
      </c>
      <c r="J92" s="337" t="str">
        <f>'登録'!AT92</f>
        <v>SBC</v>
      </c>
      <c r="L92" s="316" t="s">
        <v>180</v>
      </c>
    </row>
    <row r="93" spans="2:12" ht="15.75" customHeight="1">
      <c r="B93" s="430">
        <f>'登録'!AN93</f>
        <v>92</v>
      </c>
      <c r="C93" s="317" t="str">
        <f>'登録'!AQ93</f>
        <v>ORC</v>
      </c>
      <c r="D93" s="318" t="str">
        <f>'登録'!AR93</f>
        <v>村上 泰辰</v>
      </c>
      <c r="E93" s="319" t="s">
        <v>183</v>
      </c>
      <c r="F93" s="471" t="s">
        <v>181</v>
      </c>
      <c r="G93" s="321">
        <v>0</v>
      </c>
      <c r="H93" s="319"/>
      <c r="I93" s="322" t="str">
        <f>'登録'!AS93</f>
        <v>末岡　修</v>
      </c>
      <c r="J93" s="323" t="str">
        <f>'登録'!AT93</f>
        <v>WRC</v>
      </c>
      <c r="L93" s="316" t="s">
        <v>180</v>
      </c>
    </row>
    <row r="94" spans="2:12" ht="15.75" customHeight="1">
      <c r="B94" s="428">
        <f>'登録'!AN94</f>
        <v>93</v>
      </c>
      <c r="C94" s="324" t="str">
        <f>'登録'!AQ94</f>
        <v>ORC</v>
      </c>
      <c r="D94" s="325" t="str">
        <f>'登録'!AR94</f>
        <v>乾　伸綱</v>
      </c>
      <c r="E94" s="326"/>
      <c r="F94" s="470">
        <v>65</v>
      </c>
      <c r="G94" s="328" t="s">
        <v>181</v>
      </c>
      <c r="H94" s="326"/>
      <c r="I94" s="329" t="str">
        <f>'登録'!AS94</f>
        <v>杉本 博章</v>
      </c>
      <c r="J94" s="330" t="str">
        <f>'登録'!AT94</f>
        <v>WRC</v>
      </c>
      <c r="L94" s="316" t="s">
        <v>180</v>
      </c>
    </row>
    <row r="95" spans="2:12" ht="15.75" customHeight="1">
      <c r="B95" s="428">
        <f>'登録'!AN95</f>
        <v>94</v>
      </c>
      <c r="C95" s="324" t="str">
        <f>'登録'!AQ95</f>
        <v>ORC</v>
      </c>
      <c r="D95" s="325" t="str">
        <f>'登録'!AR95</f>
        <v>吉岡 保俊</v>
      </c>
      <c r="E95" s="326"/>
      <c r="F95" s="470" t="s">
        <v>181</v>
      </c>
      <c r="G95" s="328">
        <v>57</v>
      </c>
      <c r="H95" s="326"/>
      <c r="I95" s="329" t="str">
        <f>'登録'!AS95</f>
        <v>丹次 力良</v>
      </c>
      <c r="J95" s="330" t="str">
        <f>'登録'!AT95</f>
        <v>WRC</v>
      </c>
      <c r="L95" s="316" t="s">
        <v>180</v>
      </c>
    </row>
    <row r="96" spans="2:12" ht="15.75" customHeight="1">
      <c r="B96" s="428">
        <f>'登録'!AN96</f>
        <v>95</v>
      </c>
      <c r="C96" s="324" t="str">
        <f>'登録'!AQ96</f>
        <v>ORC</v>
      </c>
      <c r="D96" s="325" t="str">
        <f>'登録'!AR96</f>
        <v>山田 玄英</v>
      </c>
      <c r="E96" s="326"/>
      <c r="F96" s="470" t="s">
        <v>181</v>
      </c>
      <c r="G96" s="328">
        <v>104</v>
      </c>
      <c r="H96" s="326"/>
      <c r="I96" s="329" t="str">
        <f>'登録'!AS96</f>
        <v>芝先 泰生</v>
      </c>
      <c r="J96" s="330" t="str">
        <f>'登録'!AT96</f>
        <v>WRC</v>
      </c>
      <c r="L96" s="316" t="s">
        <v>180</v>
      </c>
    </row>
    <row r="97" spans="2:12" ht="15.75" customHeight="1">
      <c r="B97" s="428">
        <f>'登録'!AN97</f>
        <v>96</v>
      </c>
      <c r="C97" s="324" t="str">
        <f>'登録'!AQ97</f>
        <v>ORC</v>
      </c>
      <c r="D97" s="325" t="str">
        <f>'登録'!AR97</f>
        <v>由本　拓</v>
      </c>
      <c r="E97" s="326"/>
      <c r="F97" s="470" t="s">
        <v>181</v>
      </c>
      <c r="G97" s="328">
        <v>75</v>
      </c>
      <c r="H97" s="326"/>
      <c r="I97" s="329" t="str">
        <f>'登録'!AS97</f>
        <v>岸上 賢一</v>
      </c>
      <c r="J97" s="330" t="str">
        <f>'登録'!AT97</f>
        <v>WRC</v>
      </c>
      <c r="L97" s="316" t="s">
        <v>180</v>
      </c>
    </row>
    <row r="98" spans="2:12" ht="15.75" customHeight="1">
      <c r="B98" s="428">
        <f>'登録'!AN98</f>
        <v>97</v>
      </c>
      <c r="C98" s="324" t="str">
        <f>'登録'!AQ98</f>
        <v>ORC</v>
      </c>
      <c r="D98" s="325" t="str">
        <f>'登録'!AR98</f>
        <v>田中 隆介</v>
      </c>
      <c r="E98" s="326"/>
      <c r="F98" s="470" t="s">
        <v>181</v>
      </c>
      <c r="G98" s="328">
        <v>33</v>
      </c>
      <c r="H98" s="326"/>
      <c r="I98" s="329" t="str">
        <f>'登録'!AS98</f>
        <v>中本 雅大</v>
      </c>
      <c r="J98" s="330" t="str">
        <f>'登録'!AT98</f>
        <v>WRC</v>
      </c>
      <c r="L98" s="316" t="s">
        <v>180</v>
      </c>
    </row>
    <row r="99" spans="2:12" ht="15.75" customHeight="1" thickBot="1">
      <c r="B99" s="429">
        <f>'登録'!AN99</f>
        <v>98</v>
      </c>
      <c r="C99" s="331" t="str">
        <f>'登録'!AQ99</f>
        <v>ORC</v>
      </c>
      <c r="D99" s="332" t="str">
        <f>'登録'!AR99</f>
        <v>西田 恵子</v>
      </c>
      <c r="E99" s="333"/>
      <c r="F99" s="469" t="s">
        <v>181</v>
      </c>
      <c r="G99" s="335">
        <v>10</v>
      </c>
      <c r="H99" s="333"/>
      <c r="I99" s="336" t="str">
        <f>'登録'!AS99</f>
        <v>松房ゆかり</v>
      </c>
      <c r="J99" s="337" t="str">
        <f>'登録'!AT99</f>
        <v>WRC</v>
      </c>
      <c r="L99" s="316" t="s">
        <v>180</v>
      </c>
    </row>
    <row r="100" spans="2:12" ht="15.75" customHeight="1">
      <c r="B100" s="430">
        <f>'登録'!AN100</f>
        <v>99</v>
      </c>
      <c r="C100" s="317" t="str">
        <f>'登録'!AQ100</f>
        <v>KRC</v>
      </c>
      <c r="D100" s="318" t="str">
        <f>'登録'!AR100</f>
        <v>折戸 和幸</v>
      </c>
      <c r="E100" s="319"/>
      <c r="F100" s="471">
        <v>12</v>
      </c>
      <c r="G100" s="321" t="s">
        <v>181</v>
      </c>
      <c r="H100" s="319"/>
      <c r="I100" s="322" t="str">
        <f>'登録'!AS100</f>
        <v>堂園 雅也</v>
      </c>
      <c r="J100" s="323" t="str">
        <f>'登録'!AT100</f>
        <v>HRC</v>
      </c>
      <c r="L100" s="316" t="s">
        <v>180</v>
      </c>
    </row>
    <row r="101" spans="2:12" ht="15.75" customHeight="1">
      <c r="B101" s="428">
        <f>'登録'!AN101</f>
        <v>100</v>
      </c>
      <c r="C101" s="324" t="str">
        <f>'登録'!AQ101</f>
        <v>KRC</v>
      </c>
      <c r="D101" s="325" t="str">
        <f>'登録'!AR101</f>
        <v>今村 哲也</v>
      </c>
      <c r="E101" s="326"/>
      <c r="F101" s="470" t="s">
        <v>181</v>
      </c>
      <c r="G101" s="328">
        <v>57</v>
      </c>
      <c r="H101" s="326"/>
      <c r="I101" s="329" t="str">
        <f>'登録'!AS101</f>
        <v>長井　充</v>
      </c>
      <c r="J101" s="330" t="str">
        <f>'登録'!AT101</f>
        <v>HRC</v>
      </c>
      <c r="L101" s="316" t="s">
        <v>180</v>
      </c>
    </row>
    <row r="102" spans="2:12" ht="15.75" customHeight="1">
      <c r="B102" s="428">
        <f>'登録'!AN102</f>
        <v>101</v>
      </c>
      <c r="C102" s="324" t="str">
        <f>'登録'!AQ102</f>
        <v>KRC</v>
      </c>
      <c r="D102" s="325" t="str">
        <f>'登録'!AR102</f>
        <v>小山 久博</v>
      </c>
      <c r="E102" s="326" t="s">
        <v>182</v>
      </c>
      <c r="F102" s="470" t="s">
        <v>181</v>
      </c>
      <c r="G102" s="328">
        <v>0</v>
      </c>
      <c r="H102" s="326"/>
      <c r="I102" s="329" t="str">
        <f>'登録'!AS102</f>
        <v>藤中健太郎</v>
      </c>
      <c r="J102" s="330" t="str">
        <f>'登録'!AT102</f>
        <v>HRC</v>
      </c>
      <c r="L102" s="316" t="s">
        <v>180</v>
      </c>
    </row>
    <row r="103" spans="2:12" ht="15.75" customHeight="1">
      <c r="B103" s="428">
        <f>'登録'!AN103</f>
        <v>102</v>
      </c>
      <c r="C103" s="324" t="str">
        <f>'登録'!AQ103</f>
        <v>KRC</v>
      </c>
      <c r="D103" s="325" t="str">
        <f>'登録'!AR103</f>
        <v>伊庭 保久</v>
      </c>
      <c r="E103" s="326"/>
      <c r="F103" s="470" t="s">
        <v>181</v>
      </c>
      <c r="G103" s="328">
        <v>47</v>
      </c>
      <c r="H103" s="326"/>
      <c r="I103" s="329" t="str">
        <f>'登録'!AS103</f>
        <v>後藤 勇治</v>
      </c>
      <c r="J103" s="330" t="str">
        <f>'登録'!AT103</f>
        <v>HRC</v>
      </c>
      <c r="L103" s="316" t="s">
        <v>180</v>
      </c>
    </row>
    <row r="104" spans="2:12" ht="15.75" customHeight="1">
      <c r="B104" s="428">
        <f>'登録'!AN104</f>
        <v>103</v>
      </c>
      <c r="C104" s="324" t="str">
        <f>'登録'!AQ104</f>
        <v>KRC</v>
      </c>
      <c r="D104" s="325" t="str">
        <f>'登録'!AR104</f>
        <v>菊池 靖正</v>
      </c>
      <c r="E104" s="326"/>
      <c r="F104" s="470">
        <v>20</v>
      </c>
      <c r="G104" s="328" t="s">
        <v>181</v>
      </c>
      <c r="H104" s="326"/>
      <c r="I104" s="329" t="str">
        <f>'登録'!AS104</f>
        <v>丹羽 俊也</v>
      </c>
      <c r="J104" s="330" t="str">
        <f>'登録'!AT104</f>
        <v>HRC</v>
      </c>
      <c r="L104" s="316" t="s">
        <v>180</v>
      </c>
    </row>
    <row r="105" spans="2:12" ht="15.75" customHeight="1">
      <c r="B105" s="428">
        <f>'登録'!AN105</f>
        <v>104</v>
      </c>
      <c r="C105" s="324" t="str">
        <f>'登録'!AQ105</f>
        <v>KRC</v>
      </c>
      <c r="D105" s="325" t="str">
        <f>'登録'!AR105</f>
        <v>田附 裕次</v>
      </c>
      <c r="E105" s="326"/>
      <c r="F105" s="470" t="s">
        <v>181</v>
      </c>
      <c r="G105" s="328">
        <v>119</v>
      </c>
      <c r="H105" s="326"/>
      <c r="I105" s="329" t="str">
        <f>'登録'!AS105</f>
        <v>平井 洸志</v>
      </c>
      <c r="J105" s="330" t="str">
        <f>'登録'!AT105</f>
        <v>HRC</v>
      </c>
      <c r="L105" s="316" t="s">
        <v>180</v>
      </c>
    </row>
    <row r="106" spans="2:12" ht="15.75" customHeight="1" thickBot="1">
      <c r="B106" s="429">
        <f>'登録'!AN106</f>
        <v>105</v>
      </c>
      <c r="C106" s="331" t="str">
        <f>'登録'!AQ106</f>
        <v>KRC</v>
      </c>
      <c r="D106" s="332" t="str">
        <f>'登録'!AR106</f>
        <v>森田由佳里</v>
      </c>
      <c r="E106" s="333"/>
      <c r="F106" s="469" t="s">
        <v>181</v>
      </c>
      <c r="G106" s="335">
        <v>18</v>
      </c>
      <c r="H106" s="333"/>
      <c r="I106" s="336" t="str">
        <f>'登録'!AS106</f>
        <v>栃下 恭子</v>
      </c>
      <c r="J106" s="337" t="str">
        <f>'登録'!AT106</f>
        <v>HRC</v>
      </c>
      <c r="L106" s="316" t="s">
        <v>180</v>
      </c>
    </row>
    <row r="107" spans="2:12" ht="15.75" customHeight="1">
      <c r="B107" s="431">
        <f>'登録'!AN107</f>
        <v>106</v>
      </c>
      <c r="C107" s="317" t="str">
        <f>'登録'!AQ107</f>
        <v>ORC</v>
      </c>
      <c r="D107" s="318" t="str">
        <f>'登録'!AR107</f>
        <v>吉岡 保俊</v>
      </c>
      <c r="E107" s="319">
        <v>118</v>
      </c>
      <c r="F107" s="471" t="s">
        <v>181</v>
      </c>
      <c r="G107" s="321">
        <v>3</v>
      </c>
      <c r="H107" s="319"/>
      <c r="I107" s="322" t="str">
        <f>'登録'!AS107</f>
        <v>山田 普之</v>
      </c>
      <c r="J107" s="323" t="str">
        <f>'登録'!AT107</f>
        <v>NRC</v>
      </c>
      <c r="L107" s="316" t="s">
        <v>180</v>
      </c>
    </row>
    <row r="108" spans="2:12" ht="15.75" customHeight="1">
      <c r="B108" s="432">
        <f>'登録'!AN108</f>
        <v>107</v>
      </c>
      <c r="C108" s="324" t="str">
        <f>'登録'!AQ108</f>
        <v>ORC</v>
      </c>
      <c r="D108" s="325" t="str">
        <f>'登録'!AR108</f>
        <v>山田 玄英</v>
      </c>
      <c r="E108" s="326"/>
      <c r="F108" s="470" t="s">
        <v>181</v>
      </c>
      <c r="G108" s="328">
        <v>21</v>
      </c>
      <c r="H108" s="326"/>
      <c r="I108" s="329" t="str">
        <f>'登録'!AS108</f>
        <v>山田 晃司</v>
      </c>
      <c r="J108" s="330" t="str">
        <f>'登録'!AT108</f>
        <v>NRC</v>
      </c>
      <c r="L108" s="316" t="s">
        <v>180</v>
      </c>
    </row>
    <row r="109" spans="2:12" ht="15.75" customHeight="1">
      <c r="B109" s="432">
        <f>'登録'!AN109</f>
        <v>108</v>
      </c>
      <c r="C109" s="324" t="str">
        <f>'登録'!AQ109</f>
        <v>ORC</v>
      </c>
      <c r="D109" s="325" t="str">
        <f>'登録'!AR109</f>
        <v>由本　拓</v>
      </c>
      <c r="E109" s="326"/>
      <c r="F109" s="470" t="s">
        <v>181</v>
      </c>
      <c r="G109" s="328">
        <v>29</v>
      </c>
      <c r="H109" s="326"/>
      <c r="I109" s="329" t="str">
        <f>'登録'!AS109</f>
        <v>長谷川 進</v>
      </c>
      <c r="J109" s="330" t="str">
        <f>'登録'!AT109</f>
        <v>NRC</v>
      </c>
      <c r="L109" s="316" t="s">
        <v>180</v>
      </c>
    </row>
    <row r="110" spans="2:12" ht="15.75" customHeight="1">
      <c r="B110" s="432">
        <f>'登録'!AN110</f>
        <v>109</v>
      </c>
      <c r="C110" s="324" t="str">
        <f>'登録'!AQ110</f>
        <v>ORC</v>
      </c>
      <c r="D110" s="325" t="str">
        <f>'登録'!AR110</f>
        <v>田中 隆介</v>
      </c>
      <c r="E110" s="326"/>
      <c r="F110" s="470" t="s">
        <v>181</v>
      </c>
      <c r="G110" s="328">
        <v>41</v>
      </c>
      <c r="H110" s="326"/>
      <c r="I110" s="329" t="str">
        <f>'登録'!AS110</f>
        <v>宮野 早織</v>
      </c>
      <c r="J110" s="330" t="str">
        <f>'登録'!AT110</f>
        <v>NRC</v>
      </c>
      <c r="L110" s="316" t="s">
        <v>180</v>
      </c>
    </row>
    <row r="111" spans="2:12" ht="15.75" customHeight="1">
      <c r="B111" s="432">
        <f>'登録'!AN111</f>
        <v>110</v>
      </c>
      <c r="C111" s="324" t="str">
        <f>'登録'!AQ111</f>
        <v>ORC</v>
      </c>
      <c r="D111" s="325" t="str">
        <f>'登録'!AR111</f>
        <v>西田 恵子</v>
      </c>
      <c r="E111" s="326"/>
      <c r="F111" s="470">
        <v>22</v>
      </c>
      <c r="G111" s="328" t="s">
        <v>181</v>
      </c>
      <c r="H111" s="326"/>
      <c r="I111" s="329" t="str">
        <f>'登録'!AS111</f>
        <v>白戸 玲人</v>
      </c>
      <c r="J111" s="330" t="str">
        <f>'登録'!AT111</f>
        <v>NRC</v>
      </c>
      <c r="L111" s="316" t="s">
        <v>180</v>
      </c>
    </row>
    <row r="112" spans="2:12" ht="15.75" customHeight="1">
      <c r="B112" s="432">
        <f>'登録'!AN112</f>
        <v>111</v>
      </c>
      <c r="C112" s="324" t="str">
        <f>'登録'!AQ112</f>
        <v>ORC</v>
      </c>
      <c r="D112" s="325" t="str">
        <f>'登録'!AR112</f>
        <v>村上 泰辰</v>
      </c>
      <c r="E112" s="326"/>
      <c r="F112" s="470" t="s">
        <v>181</v>
      </c>
      <c r="G112" s="328">
        <v>64</v>
      </c>
      <c r="H112" s="326"/>
      <c r="I112" s="329" t="str">
        <f>'登録'!AS112</f>
        <v>近藤 拓馬</v>
      </c>
      <c r="J112" s="330" t="str">
        <f>'登録'!AT112</f>
        <v>NRC</v>
      </c>
      <c r="L112" s="316" t="s">
        <v>180</v>
      </c>
    </row>
    <row r="113" spans="2:12" ht="15.75" customHeight="1" thickBot="1">
      <c r="B113" s="433">
        <f>'登録'!AN113</f>
        <v>112</v>
      </c>
      <c r="C113" s="331" t="str">
        <f>'登録'!AQ113</f>
        <v>ORC</v>
      </c>
      <c r="D113" s="332" t="str">
        <f>'登録'!AR113</f>
        <v>乾　伸綱</v>
      </c>
      <c r="E113" s="333"/>
      <c r="F113" s="469" t="s">
        <v>181</v>
      </c>
      <c r="G113" s="335">
        <v>70</v>
      </c>
      <c r="H113" s="333"/>
      <c r="I113" s="336" t="str">
        <f>'登録'!AS113</f>
        <v>吉向 翔平</v>
      </c>
      <c r="J113" s="337" t="str">
        <f>'登録'!AT113</f>
        <v>NRC</v>
      </c>
      <c r="L113" s="316" t="s">
        <v>180</v>
      </c>
    </row>
    <row r="114" spans="2:12" ht="15.75" customHeight="1">
      <c r="B114" s="431">
        <f>'登録'!AN114</f>
        <v>113</v>
      </c>
      <c r="C114" s="317" t="str">
        <f>'登録'!AQ114</f>
        <v>HRC</v>
      </c>
      <c r="D114" s="318" t="str">
        <f>'登録'!AR114</f>
        <v>長井　充</v>
      </c>
      <c r="E114" s="319">
        <v>100</v>
      </c>
      <c r="F114" s="471" t="s">
        <v>181</v>
      </c>
      <c r="G114" s="321">
        <v>3</v>
      </c>
      <c r="H114" s="319"/>
      <c r="I114" s="322" t="str">
        <f>'登録'!AS114</f>
        <v>高島 太一</v>
      </c>
      <c r="J114" s="323" t="str">
        <f>'登録'!AT114</f>
        <v>SBC</v>
      </c>
      <c r="L114" s="316" t="s">
        <v>180</v>
      </c>
    </row>
    <row r="115" spans="2:12" ht="15.75" customHeight="1">
      <c r="B115" s="432">
        <f>'登録'!AN115</f>
        <v>114</v>
      </c>
      <c r="C115" s="324" t="str">
        <f>'登録'!AQ115</f>
        <v>HRC</v>
      </c>
      <c r="D115" s="325" t="str">
        <f>'登録'!AR115</f>
        <v>藤中健太郎</v>
      </c>
      <c r="E115" s="326"/>
      <c r="F115" s="470" t="s">
        <v>181</v>
      </c>
      <c r="G115" s="328">
        <v>65</v>
      </c>
      <c r="H115" s="326"/>
      <c r="I115" s="329" t="str">
        <f>'登録'!AS115</f>
        <v>須藤 浩章</v>
      </c>
      <c r="J115" s="330" t="str">
        <f>'登録'!AT115</f>
        <v>SBC</v>
      </c>
      <c r="L115" s="316" t="s">
        <v>180</v>
      </c>
    </row>
    <row r="116" spans="2:12" ht="15.75" customHeight="1">
      <c r="B116" s="432">
        <f>'登録'!AN116</f>
        <v>115</v>
      </c>
      <c r="C116" s="324" t="str">
        <f>'登録'!AQ116</f>
        <v>HRC</v>
      </c>
      <c r="D116" s="325" t="str">
        <f>'登録'!AR116</f>
        <v>後藤 勇治</v>
      </c>
      <c r="E116" s="326"/>
      <c r="F116" s="470" t="s">
        <v>181</v>
      </c>
      <c r="G116" s="328">
        <v>46</v>
      </c>
      <c r="H116" s="326"/>
      <c r="I116" s="329" t="str">
        <f>'登録'!AS116</f>
        <v>酒井 美希</v>
      </c>
      <c r="J116" s="330" t="str">
        <f>'登録'!AT116</f>
        <v>SBC</v>
      </c>
      <c r="L116" s="316" t="s">
        <v>180</v>
      </c>
    </row>
    <row r="117" spans="2:12" ht="15.75" customHeight="1">
      <c r="B117" s="432">
        <f>'登録'!AN117</f>
        <v>116</v>
      </c>
      <c r="C117" s="324" t="str">
        <f>'登録'!AQ117</f>
        <v>HRC</v>
      </c>
      <c r="D117" s="325" t="str">
        <f>'登録'!AR117</f>
        <v>丹羽 俊也</v>
      </c>
      <c r="E117" s="326"/>
      <c r="F117" s="470" t="s">
        <v>181</v>
      </c>
      <c r="G117" s="328">
        <v>6</v>
      </c>
      <c r="H117" s="326"/>
      <c r="I117" s="329" t="str">
        <f>'登録'!AS117</f>
        <v>西峰 久祐</v>
      </c>
      <c r="J117" s="330" t="str">
        <f>'登録'!AT117</f>
        <v>SBC</v>
      </c>
      <c r="L117" s="316" t="s">
        <v>180</v>
      </c>
    </row>
    <row r="118" spans="2:12" ht="15.75" customHeight="1">
      <c r="B118" s="432">
        <f>'登録'!AN118</f>
        <v>117</v>
      </c>
      <c r="C118" s="324" t="str">
        <f>'登録'!AQ118</f>
        <v>HRC</v>
      </c>
      <c r="D118" s="325" t="str">
        <f>'登録'!AR118</f>
        <v>平井 洸志</v>
      </c>
      <c r="E118" s="326"/>
      <c r="F118" s="470">
        <v>107</v>
      </c>
      <c r="G118" s="328" t="s">
        <v>181</v>
      </c>
      <c r="H118" s="326"/>
      <c r="I118" s="329" t="str">
        <f>'登録'!AS118</f>
        <v>長田 智紀</v>
      </c>
      <c r="J118" s="330" t="str">
        <f>'登録'!AT118</f>
        <v>SBC</v>
      </c>
      <c r="L118" s="316" t="s">
        <v>180</v>
      </c>
    </row>
    <row r="119" spans="2:12" ht="15.75" customHeight="1">
      <c r="B119" s="432">
        <f>'登録'!AN119</f>
        <v>118</v>
      </c>
      <c r="C119" s="324" t="str">
        <f>'登録'!AQ119</f>
        <v>HRC</v>
      </c>
      <c r="D119" s="325" t="str">
        <f>'登録'!AR119</f>
        <v>栃下 恭子</v>
      </c>
      <c r="E119" s="326"/>
      <c r="F119" s="470">
        <v>78</v>
      </c>
      <c r="G119" s="328" t="s">
        <v>181</v>
      </c>
      <c r="H119" s="326"/>
      <c r="I119" s="329" t="str">
        <f>'登録'!AS119</f>
        <v>大橋 義治</v>
      </c>
      <c r="J119" s="330" t="str">
        <f>'登録'!AT119</f>
        <v>SBC</v>
      </c>
      <c r="L119" s="316" t="s">
        <v>180</v>
      </c>
    </row>
    <row r="120" spans="2:12" ht="15.75" customHeight="1" thickBot="1">
      <c r="B120" s="433">
        <f>'登録'!AN120</f>
        <v>119</v>
      </c>
      <c r="C120" s="331" t="str">
        <f>'登録'!AQ120</f>
        <v>HRC</v>
      </c>
      <c r="D120" s="332" t="str">
        <f>'登録'!AR120</f>
        <v>堂園 雅也</v>
      </c>
      <c r="E120" s="333"/>
      <c r="F120" s="469">
        <v>78</v>
      </c>
      <c r="G120" s="335" t="s">
        <v>181</v>
      </c>
      <c r="H120" s="333"/>
      <c r="I120" s="336" t="str">
        <f>'登録'!AS120</f>
        <v>山中 康寛</v>
      </c>
      <c r="J120" s="337" t="str">
        <f>'登録'!AT120</f>
        <v>SBC</v>
      </c>
      <c r="L120" s="316" t="s">
        <v>180</v>
      </c>
    </row>
    <row r="121" spans="2:12" ht="15.75" customHeight="1">
      <c r="B121" s="431">
        <f>'登録'!AN121</f>
        <v>120</v>
      </c>
      <c r="C121" s="317" t="str">
        <f>'登録'!AQ121</f>
        <v>KRC</v>
      </c>
      <c r="D121" s="318" t="str">
        <f>'登録'!AR121</f>
        <v>折戸 和幸</v>
      </c>
      <c r="E121" s="319"/>
      <c r="F121" s="471" t="s">
        <v>181</v>
      </c>
      <c r="G121" s="321">
        <v>85</v>
      </c>
      <c r="H121" s="319"/>
      <c r="I121" s="322" t="str">
        <f>'登録'!AS121</f>
        <v>中本 雅大</v>
      </c>
      <c r="J121" s="323" t="str">
        <f>'登録'!AT121</f>
        <v>WRC</v>
      </c>
      <c r="L121" s="316" t="s">
        <v>180</v>
      </c>
    </row>
    <row r="122" spans="2:12" ht="15.75" customHeight="1">
      <c r="B122" s="432">
        <f>'登録'!AN122</f>
        <v>121</v>
      </c>
      <c r="C122" s="324" t="str">
        <f>'登録'!AQ122</f>
        <v>KRC</v>
      </c>
      <c r="D122" s="325" t="str">
        <f>'登録'!AR122</f>
        <v>今村 哲也</v>
      </c>
      <c r="E122" s="326">
        <v>104</v>
      </c>
      <c r="F122" s="470" t="s">
        <v>181</v>
      </c>
      <c r="G122" s="328">
        <v>31</v>
      </c>
      <c r="H122" s="326"/>
      <c r="I122" s="329" t="str">
        <f>'登録'!AS122</f>
        <v>松房ゆかり</v>
      </c>
      <c r="J122" s="330" t="str">
        <f>'登録'!AT122</f>
        <v>WRC</v>
      </c>
      <c r="L122" s="316" t="s">
        <v>180</v>
      </c>
    </row>
    <row r="123" spans="2:12" ht="15.75" customHeight="1">
      <c r="B123" s="432">
        <f>'登録'!AN123</f>
        <v>122</v>
      </c>
      <c r="C123" s="324" t="str">
        <f>'登録'!AQ123</f>
        <v>KRC</v>
      </c>
      <c r="D123" s="325" t="str">
        <f>'登録'!AR123</f>
        <v>小山 久博</v>
      </c>
      <c r="E123" s="326">
        <v>111</v>
      </c>
      <c r="F123" s="470" t="s">
        <v>181</v>
      </c>
      <c r="G123" s="328">
        <v>9</v>
      </c>
      <c r="H123" s="326"/>
      <c r="I123" s="329" t="str">
        <f>'登録'!AS123</f>
        <v>末岡　修</v>
      </c>
      <c r="J123" s="330" t="str">
        <f>'登録'!AT123</f>
        <v>WRC</v>
      </c>
      <c r="L123" s="316" t="s">
        <v>180</v>
      </c>
    </row>
    <row r="124" spans="2:12" ht="15.75" customHeight="1">
      <c r="B124" s="432">
        <f>'登録'!AN124</f>
        <v>123</v>
      </c>
      <c r="C124" s="324" t="str">
        <f>'登録'!AQ124</f>
        <v>KRC</v>
      </c>
      <c r="D124" s="325" t="str">
        <f>'登録'!AR124</f>
        <v>伊庭 保久</v>
      </c>
      <c r="E124" s="326"/>
      <c r="F124" s="470" t="s">
        <v>181</v>
      </c>
      <c r="G124" s="328">
        <v>108</v>
      </c>
      <c r="H124" s="326"/>
      <c r="I124" s="329" t="str">
        <f>'登録'!AS124</f>
        <v>杉本 博章</v>
      </c>
      <c r="J124" s="330" t="str">
        <f>'登録'!AT124</f>
        <v>WRC</v>
      </c>
      <c r="L124" s="316" t="s">
        <v>180</v>
      </c>
    </row>
    <row r="125" spans="2:12" ht="15.75" customHeight="1">
      <c r="B125" s="432">
        <f>'登録'!AN125</f>
        <v>124</v>
      </c>
      <c r="C125" s="324" t="str">
        <f>'登録'!AQ125</f>
        <v>KRC</v>
      </c>
      <c r="D125" s="325" t="str">
        <f>'登録'!AR125</f>
        <v>菊池 靖正</v>
      </c>
      <c r="E125" s="326"/>
      <c r="F125" s="470">
        <v>28</v>
      </c>
      <c r="G125" s="328" t="s">
        <v>181</v>
      </c>
      <c r="H125" s="326"/>
      <c r="I125" s="329" t="str">
        <f>'登録'!AS125</f>
        <v>丹次 力良</v>
      </c>
      <c r="J125" s="330" t="str">
        <f>'登録'!AT125</f>
        <v>WRC</v>
      </c>
      <c r="L125" s="316" t="s">
        <v>180</v>
      </c>
    </row>
    <row r="126" spans="2:12" ht="15.75" customHeight="1">
      <c r="B126" s="432">
        <f>'登録'!AN126</f>
        <v>125</v>
      </c>
      <c r="C126" s="324" t="str">
        <f>'登録'!AQ126</f>
        <v>KRC</v>
      </c>
      <c r="D126" s="325" t="str">
        <f>'登録'!AR126</f>
        <v>田附 裕次</v>
      </c>
      <c r="E126" s="326">
        <v>108</v>
      </c>
      <c r="F126" s="470" t="s">
        <v>181</v>
      </c>
      <c r="G126" s="328">
        <v>110</v>
      </c>
      <c r="H126" s="326">
        <v>105</v>
      </c>
      <c r="I126" s="329" t="str">
        <f>'登録'!AS126</f>
        <v>芝先 泰生</v>
      </c>
      <c r="J126" s="330" t="str">
        <f>'登録'!AT126</f>
        <v>WRC</v>
      </c>
      <c r="L126" s="316" t="s">
        <v>180</v>
      </c>
    </row>
    <row r="127" spans="2:12" ht="15.75" customHeight="1" thickBot="1">
      <c r="B127" s="433">
        <f>'登録'!AN127</f>
        <v>126</v>
      </c>
      <c r="C127" s="331" t="str">
        <f>'登録'!AQ127</f>
        <v>KRC</v>
      </c>
      <c r="D127" s="332" t="str">
        <f>'登録'!AR127</f>
        <v>森田由佳里</v>
      </c>
      <c r="E127" s="333"/>
      <c r="F127" s="469" t="s">
        <v>181</v>
      </c>
      <c r="G127" s="335">
        <v>76</v>
      </c>
      <c r="H127" s="333"/>
      <c r="I127" s="336" t="str">
        <f>'登録'!AS127</f>
        <v>岸上 賢一</v>
      </c>
      <c r="J127" s="337" t="str">
        <f>'登録'!AT127</f>
        <v>WRC</v>
      </c>
      <c r="L127" s="316" t="s">
        <v>180</v>
      </c>
    </row>
    <row r="128" spans="2:12" ht="15.75" customHeight="1">
      <c r="B128" s="430">
        <f>'登録'!AN128</f>
        <v>127</v>
      </c>
      <c r="C128" s="317" t="str">
        <f>'登録'!AQ128</f>
        <v>HRC</v>
      </c>
      <c r="D128" s="318" t="str">
        <f>'登録'!AR128</f>
        <v>長井　充</v>
      </c>
      <c r="E128" s="319"/>
      <c r="F128" s="320">
        <v>62</v>
      </c>
      <c r="G128" s="321" t="s">
        <v>181</v>
      </c>
      <c r="H128" s="319"/>
      <c r="I128" s="322" t="str">
        <f>'登録'!AS128</f>
        <v>吉岡 保俊</v>
      </c>
      <c r="J128" s="323" t="str">
        <f>'登録'!AT128</f>
        <v>ORC</v>
      </c>
      <c r="L128" s="316" t="s">
        <v>180</v>
      </c>
    </row>
    <row r="129" spans="2:12" ht="15.75" customHeight="1">
      <c r="B129" s="428">
        <f>'登録'!AN129</f>
        <v>128</v>
      </c>
      <c r="C129" s="324" t="str">
        <f>'登録'!AQ129</f>
        <v>HRC</v>
      </c>
      <c r="D129" s="325" t="str">
        <f>'登録'!AR129</f>
        <v>藤中健太郎</v>
      </c>
      <c r="E129" s="326">
        <v>100</v>
      </c>
      <c r="F129" s="470" t="s">
        <v>181</v>
      </c>
      <c r="G129" s="328">
        <v>12</v>
      </c>
      <c r="H129" s="326"/>
      <c r="I129" s="329" t="str">
        <f>'登録'!AS129</f>
        <v>山田 玄英</v>
      </c>
      <c r="J129" s="330" t="str">
        <f>'登録'!AT129</f>
        <v>ORC</v>
      </c>
      <c r="L129" s="316" t="s">
        <v>180</v>
      </c>
    </row>
    <row r="130" spans="2:12" ht="15.75" customHeight="1">
      <c r="B130" s="428">
        <f>'登録'!AN130</f>
        <v>129</v>
      </c>
      <c r="C130" s="324" t="str">
        <f>'登録'!AQ130</f>
        <v>HRC</v>
      </c>
      <c r="D130" s="325" t="str">
        <f>'登録'!AR130</f>
        <v>後藤 勇治</v>
      </c>
      <c r="E130" s="326"/>
      <c r="F130" s="470">
        <v>13</v>
      </c>
      <c r="G130" s="328" t="s">
        <v>181</v>
      </c>
      <c r="H130" s="326"/>
      <c r="I130" s="329" t="str">
        <f>'登録'!AS130</f>
        <v>由本　拓</v>
      </c>
      <c r="J130" s="330" t="str">
        <f>'登録'!AT130</f>
        <v>ORC</v>
      </c>
      <c r="L130" s="316" t="s">
        <v>180</v>
      </c>
    </row>
    <row r="131" spans="2:12" ht="15.75" customHeight="1">
      <c r="B131" s="428">
        <f>'登録'!AN131</f>
        <v>130</v>
      </c>
      <c r="C131" s="324" t="str">
        <f>'登録'!AQ131</f>
        <v>HRC</v>
      </c>
      <c r="D131" s="325" t="str">
        <f>'登録'!AR131</f>
        <v>丹羽 俊也</v>
      </c>
      <c r="E131" s="326"/>
      <c r="F131" s="470">
        <v>16</v>
      </c>
      <c r="G131" s="328" t="s">
        <v>181</v>
      </c>
      <c r="H131" s="326"/>
      <c r="I131" s="329" t="str">
        <f>'登録'!AS131</f>
        <v>田中 隆介</v>
      </c>
      <c r="J131" s="330" t="str">
        <f>'登録'!AT131</f>
        <v>ORC</v>
      </c>
      <c r="L131" s="316" t="s">
        <v>180</v>
      </c>
    </row>
    <row r="132" spans="2:12" ht="15.75" customHeight="1">
      <c r="B132" s="428">
        <f>'登録'!AN132</f>
        <v>131</v>
      </c>
      <c r="C132" s="324" t="str">
        <f>'登録'!AQ132</f>
        <v>HRC</v>
      </c>
      <c r="D132" s="325" t="str">
        <f>'登録'!AR132</f>
        <v>平井 洸志</v>
      </c>
      <c r="E132" s="326"/>
      <c r="F132" s="470">
        <v>69</v>
      </c>
      <c r="G132" s="328" t="s">
        <v>181</v>
      </c>
      <c r="H132" s="326"/>
      <c r="I132" s="329" t="str">
        <f>'登録'!AS132</f>
        <v>西田 恵子</v>
      </c>
      <c r="J132" s="330" t="str">
        <f>'登録'!AT132</f>
        <v>ORC</v>
      </c>
      <c r="L132" s="316" t="s">
        <v>180</v>
      </c>
    </row>
    <row r="133" spans="2:12" ht="15.75" customHeight="1">
      <c r="B133" s="428">
        <f>'登録'!AN133</f>
        <v>132</v>
      </c>
      <c r="C133" s="324" t="str">
        <f>'登録'!AQ133</f>
        <v>HRC</v>
      </c>
      <c r="D133" s="325" t="str">
        <f>'登録'!AR133</f>
        <v>栃下 恭子</v>
      </c>
      <c r="E133" s="326"/>
      <c r="F133" s="470">
        <v>64</v>
      </c>
      <c r="G133" s="328" t="s">
        <v>181</v>
      </c>
      <c r="H133" s="326"/>
      <c r="I133" s="329" t="str">
        <f>'登録'!AS133</f>
        <v>村上 泰辰</v>
      </c>
      <c r="J133" s="330" t="str">
        <f>'登録'!AT133</f>
        <v>ORC</v>
      </c>
      <c r="L133" s="316" t="s">
        <v>180</v>
      </c>
    </row>
    <row r="134" spans="2:12" ht="15.75" customHeight="1" thickBot="1">
      <c r="B134" s="429">
        <f>'登録'!AN134</f>
        <v>133</v>
      </c>
      <c r="C134" s="331" t="str">
        <f>'登録'!AQ134</f>
        <v>HRC</v>
      </c>
      <c r="D134" s="332" t="str">
        <f>'登録'!AR134</f>
        <v>堂園 雅也</v>
      </c>
      <c r="E134" s="333">
        <v>120</v>
      </c>
      <c r="F134" s="469" t="s">
        <v>181</v>
      </c>
      <c r="G134" s="335">
        <v>25</v>
      </c>
      <c r="H134" s="333"/>
      <c r="I134" s="336" t="str">
        <f>'登録'!AS134</f>
        <v>乾　伸綱</v>
      </c>
      <c r="J134" s="337" t="str">
        <f>'登録'!AT134</f>
        <v>ORC</v>
      </c>
      <c r="L134" s="316" t="s">
        <v>180</v>
      </c>
    </row>
    <row r="135" spans="2:12" ht="15.75" customHeight="1">
      <c r="B135" s="430">
        <f>'登録'!AN135</f>
        <v>134</v>
      </c>
      <c r="C135" s="317" t="str">
        <f>'登録'!AQ135</f>
        <v>WRC</v>
      </c>
      <c r="D135" s="318" t="str">
        <f>'登録'!AR135</f>
        <v>中本 雅大</v>
      </c>
      <c r="E135" s="319"/>
      <c r="F135" s="471">
        <v>107</v>
      </c>
      <c r="G135" s="321" t="s">
        <v>181</v>
      </c>
      <c r="H135" s="319"/>
      <c r="I135" s="322" t="str">
        <f>'登録'!AS135</f>
        <v>山田 普之</v>
      </c>
      <c r="J135" s="323" t="str">
        <f>'登録'!AT135</f>
        <v>NRC</v>
      </c>
      <c r="L135" s="316" t="s">
        <v>180</v>
      </c>
    </row>
    <row r="136" spans="2:12" ht="15.75" customHeight="1">
      <c r="B136" s="428">
        <f>'登録'!AN136</f>
        <v>135</v>
      </c>
      <c r="C136" s="324" t="str">
        <f>'登録'!AQ136</f>
        <v>WRC</v>
      </c>
      <c r="D136" s="325" t="str">
        <f>'登録'!AR136</f>
        <v>松房ゆかり</v>
      </c>
      <c r="E136" s="326"/>
      <c r="F136" s="470">
        <v>62</v>
      </c>
      <c r="G136" s="328" t="s">
        <v>181</v>
      </c>
      <c r="H136" s="326"/>
      <c r="I136" s="329" t="str">
        <f>'登録'!AS136</f>
        <v>山田 晃司</v>
      </c>
      <c r="J136" s="330" t="str">
        <f>'登録'!AT136</f>
        <v>NRC</v>
      </c>
      <c r="L136" s="316" t="s">
        <v>180</v>
      </c>
    </row>
    <row r="137" spans="2:12" ht="15.75" customHeight="1">
      <c r="B137" s="428">
        <f>'登録'!AN137</f>
        <v>136</v>
      </c>
      <c r="C137" s="324" t="str">
        <f>'登録'!AQ137</f>
        <v>WRC</v>
      </c>
      <c r="D137" s="325" t="str">
        <f>'登録'!AR137</f>
        <v>末岡　修</v>
      </c>
      <c r="E137" s="326"/>
      <c r="F137" s="470" t="s">
        <v>181</v>
      </c>
      <c r="G137" s="328">
        <v>27</v>
      </c>
      <c r="H137" s="326"/>
      <c r="I137" s="329" t="str">
        <f>'登録'!AS137</f>
        <v>長谷川 進</v>
      </c>
      <c r="J137" s="330" t="str">
        <f>'登録'!AT137</f>
        <v>NRC</v>
      </c>
      <c r="L137" s="316" t="s">
        <v>180</v>
      </c>
    </row>
    <row r="138" spans="2:12" ht="15.75" customHeight="1">
      <c r="B138" s="428">
        <f>'登録'!AN138</f>
        <v>137</v>
      </c>
      <c r="C138" s="324" t="str">
        <f>'登録'!AQ138</f>
        <v>WRC</v>
      </c>
      <c r="D138" s="325" t="str">
        <f>'登録'!AR138</f>
        <v>杉本 博章</v>
      </c>
      <c r="E138" s="326"/>
      <c r="F138" s="470" t="s">
        <v>181</v>
      </c>
      <c r="G138" s="328">
        <v>20</v>
      </c>
      <c r="H138" s="326"/>
      <c r="I138" s="329" t="str">
        <f>'登録'!AS138</f>
        <v>宮野 早織</v>
      </c>
      <c r="J138" s="330" t="str">
        <f>'登録'!AT138</f>
        <v>NRC</v>
      </c>
      <c r="L138" s="316" t="s">
        <v>180</v>
      </c>
    </row>
    <row r="139" spans="2:12" ht="15.75" customHeight="1">
      <c r="B139" s="428">
        <f>'登録'!AN139</f>
        <v>138</v>
      </c>
      <c r="C139" s="324" t="str">
        <f>'登録'!AQ139</f>
        <v>WRC</v>
      </c>
      <c r="D139" s="325" t="str">
        <f>'登録'!AR139</f>
        <v>丹次 力良</v>
      </c>
      <c r="E139" s="326"/>
      <c r="F139" s="470" t="s">
        <v>181</v>
      </c>
      <c r="G139" s="328">
        <v>78</v>
      </c>
      <c r="H139" s="326"/>
      <c r="I139" s="329" t="str">
        <f>'登録'!AS139</f>
        <v>白戸 玲人</v>
      </c>
      <c r="J139" s="330" t="str">
        <f>'登録'!AT139</f>
        <v>NRC</v>
      </c>
      <c r="L139" s="316" t="s">
        <v>180</v>
      </c>
    </row>
    <row r="140" spans="2:12" ht="15.75" customHeight="1">
      <c r="B140" s="428">
        <f>'登録'!AN140</f>
        <v>139</v>
      </c>
      <c r="C140" s="324" t="str">
        <f>'登録'!AQ140</f>
        <v>WRC</v>
      </c>
      <c r="D140" s="325" t="str">
        <f>'登録'!AR140</f>
        <v>芝先 泰生</v>
      </c>
      <c r="E140" s="326"/>
      <c r="F140" s="470" t="s">
        <v>181</v>
      </c>
      <c r="G140" s="328">
        <v>78</v>
      </c>
      <c r="H140" s="326"/>
      <c r="I140" s="329" t="str">
        <f>'登録'!AS140</f>
        <v>近藤 拓馬</v>
      </c>
      <c r="J140" s="330" t="str">
        <f>'登録'!AT140</f>
        <v>NRC</v>
      </c>
      <c r="L140" s="316" t="s">
        <v>180</v>
      </c>
    </row>
    <row r="141" spans="2:12" ht="15.75" customHeight="1" thickBot="1">
      <c r="B141" s="429">
        <f>'登録'!AN141</f>
        <v>140</v>
      </c>
      <c r="C141" s="331" t="str">
        <f>'登録'!AQ141</f>
        <v>WRC</v>
      </c>
      <c r="D141" s="332" t="str">
        <f>'登録'!AR141</f>
        <v>岸上 賢一</v>
      </c>
      <c r="E141" s="333"/>
      <c r="F141" s="469">
        <v>78</v>
      </c>
      <c r="G141" s="335" t="s">
        <v>181</v>
      </c>
      <c r="H141" s="333"/>
      <c r="I141" s="336" t="str">
        <f>'登録'!AS141</f>
        <v>吉向 翔平</v>
      </c>
      <c r="J141" s="337" t="str">
        <f>'登録'!AT141</f>
        <v>NRC</v>
      </c>
      <c r="L141" s="316" t="s">
        <v>180</v>
      </c>
    </row>
    <row r="142" spans="2:12" ht="15.75" customHeight="1">
      <c r="B142" s="430">
        <f>'登録'!AN142</f>
        <v>141</v>
      </c>
      <c r="C142" s="317" t="str">
        <f>'登録'!AQ142</f>
        <v>KRC</v>
      </c>
      <c r="D142" s="318" t="str">
        <f>'登録'!AR142</f>
        <v>折戸 和幸</v>
      </c>
      <c r="E142" s="319"/>
      <c r="F142" s="471" t="s">
        <v>181</v>
      </c>
      <c r="G142" s="321">
        <v>15</v>
      </c>
      <c r="H142" s="319"/>
      <c r="I142" s="322" t="str">
        <f>'登録'!AS142</f>
        <v>高島 太一</v>
      </c>
      <c r="J142" s="323" t="str">
        <f>'登録'!AT142</f>
        <v>SBC</v>
      </c>
      <c r="L142" s="316" t="s">
        <v>180</v>
      </c>
    </row>
    <row r="143" spans="2:12" ht="15.75" customHeight="1">
      <c r="B143" s="428">
        <f>'登録'!AN143</f>
        <v>142</v>
      </c>
      <c r="C143" s="324" t="str">
        <f>'登録'!AQ143</f>
        <v>KRC</v>
      </c>
      <c r="D143" s="325" t="str">
        <f>'登録'!AR143</f>
        <v>今村 哲也</v>
      </c>
      <c r="E143" s="326"/>
      <c r="F143" s="470" t="s">
        <v>181</v>
      </c>
      <c r="G143" s="328">
        <v>65</v>
      </c>
      <c r="H143" s="326"/>
      <c r="I143" s="329" t="str">
        <f>'登録'!AS143</f>
        <v>須藤 浩章</v>
      </c>
      <c r="J143" s="330" t="str">
        <f>'登録'!AT143</f>
        <v>SBC</v>
      </c>
      <c r="L143" s="316" t="s">
        <v>180</v>
      </c>
    </row>
    <row r="144" spans="2:12" ht="15.75" customHeight="1">
      <c r="B144" s="428">
        <f>'登録'!AN144</f>
        <v>143</v>
      </c>
      <c r="C144" s="324" t="str">
        <f>'登録'!AQ144</f>
        <v>KRC</v>
      </c>
      <c r="D144" s="325" t="str">
        <f>'登録'!AR144</f>
        <v>小山 久博</v>
      </c>
      <c r="E144" s="326"/>
      <c r="F144" s="470" t="s">
        <v>181</v>
      </c>
      <c r="G144" s="328">
        <v>63</v>
      </c>
      <c r="H144" s="326"/>
      <c r="I144" s="329" t="str">
        <f>'登録'!AS144</f>
        <v>酒井 美希</v>
      </c>
      <c r="J144" s="330" t="str">
        <f>'登録'!AT144</f>
        <v>SBC</v>
      </c>
      <c r="L144" s="316" t="s">
        <v>180</v>
      </c>
    </row>
    <row r="145" spans="2:12" ht="15.75" customHeight="1">
      <c r="B145" s="428">
        <f>'登録'!AN145</f>
        <v>144</v>
      </c>
      <c r="C145" s="324" t="str">
        <f>'登録'!AQ145</f>
        <v>KRC</v>
      </c>
      <c r="D145" s="325" t="str">
        <f>'登録'!AR145</f>
        <v>伊庭 保久</v>
      </c>
      <c r="E145" s="326"/>
      <c r="F145" s="470">
        <v>55</v>
      </c>
      <c r="G145" s="328" t="s">
        <v>181</v>
      </c>
      <c r="H145" s="326"/>
      <c r="I145" s="329" t="str">
        <f>'登録'!AS145</f>
        <v>西峰 久祐</v>
      </c>
      <c r="J145" s="330" t="str">
        <f>'登録'!AT145</f>
        <v>SBC</v>
      </c>
      <c r="L145" s="316" t="s">
        <v>180</v>
      </c>
    </row>
    <row r="146" spans="2:12" ht="15.75" customHeight="1">
      <c r="B146" s="428">
        <f>'登録'!AN146</f>
        <v>145</v>
      </c>
      <c r="C146" s="324" t="str">
        <f>'登録'!AQ146</f>
        <v>KRC</v>
      </c>
      <c r="D146" s="325" t="str">
        <f>'登録'!AR146</f>
        <v>菊池 靖正</v>
      </c>
      <c r="E146" s="326"/>
      <c r="F146" s="470" t="s">
        <v>181</v>
      </c>
      <c r="G146" s="328">
        <v>62</v>
      </c>
      <c r="H146" s="326"/>
      <c r="I146" s="329" t="str">
        <f>'登録'!AS146</f>
        <v>長田 智紀</v>
      </c>
      <c r="J146" s="330" t="str">
        <f>'登録'!AT146</f>
        <v>SBC</v>
      </c>
      <c r="L146" s="316" t="s">
        <v>180</v>
      </c>
    </row>
    <row r="147" spans="2:12" ht="15.75" customHeight="1">
      <c r="B147" s="428">
        <f>'登録'!AN147</f>
        <v>146</v>
      </c>
      <c r="C147" s="324" t="str">
        <f>'登録'!AQ147</f>
        <v>KRC</v>
      </c>
      <c r="D147" s="325" t="str">
        <f>'登録'!AR147</f>
        <v>田附 裕次</v>
      </c>
      <c r="E147" s="326"/>
      <c r="F147" s="470">
        <v>28</v>
      </c>
      <c r="G147" s="328" t="s">
        <v>181</v>
      </c>
      <c r="H147" s="326"/>
      <c r="I147" s="329" t="str">
        <f>'登録'!AS147</f>
        <v>大橋 義治</v>
      </c>
      <c r="J147" s="330" t="str">
        <f>'登録'!AT147</f>
        <v>SBC</v>
      </c>
      <c r="L147" s="316" t="s">
        <v>180</v>
      </c>
    </row>
    <row r="148" spans="2:12" ht="15.75" customHeight="1" thickBot="1">
      <c r="B148" s="429">
        <f>'登録'!AN148</f>
        <v>147</v>
      </c>
      <c r="C148" s="331" t="str">
        <f>'登録'!AQ148</f>
        <v>KRC</v>
      </c>
      <c r="D148" s="332" t="str">
        <f>'登録'!AR148</f>
        <v>森田由佳里</v>
      </c>
      <c r="E148" s="333"/>
      <c r="F148" s="469">
        <v>95</v>
      </c>
      <c r="G148" s="335" t="s">
        <v>181</v>
      </c>
      <c r="H148" s="333"/>
      <c r="I148" s="336" t="str">
        <f>'登録'!AS148</f>
        <v>山中 康寛</v>
      </c>
      <c r="J148" s="337" t="str">
        <f>'登録'!AT148</f>
        <v>SBC</v>
      </c>
      <c r="L148" s="316" t="s">
        <v>180</v>
      </c>
    </row>
    <row r="149" spans="2:12" ht="15.75" customHeight="1">
      <c r="B149" s="431">
        <f>'登録'!AN149</f>
        <v>148</v>
      </c>
      <c r="C149" s="317" t="str">
        <f>'登録'!AQ149</f>
        <v>WRC</v>
      </c>
      <c r="D149" s="318" t="str">
        <f>'登録'!AR149</f>
        <v>中本 雅大</v>
      </c>
      <c r="E149" s="319"/>
      <c r="F149" s="471">
        <v>103</v>
      </c>
      <c r="G149" s="321" t="s">
        <v>181</v>
      </c>
      <c r="H149" s="319"/>
      <c r="I149" s="322" t="str">
        <f>'登録'!AS149</f>
        <v>長井　充</v>
      </c>
      <c r="J149" s="323" t="str">
        <f>'登録'!AT149</f>
        <v>HRC</v>
      </c>
      <c r="L149" s="316" t="s">
        <v>180</v>
      </c>
    </row>
    <row r="150" spans="2:12" ht="15.75" customHeight="1">
      <c r="B150" s="432">
        <f>'登録'!AN150</f>
        <v>149</v>
      </c>
      <c r="C150" s="324" t="str">
        <f>'登録'!AQ150</f>
        <v>WRC</v>
      </c>
      <c r="D150" s="325" t="str">
        <f>'登録'!AR150</f>
        <v>松房ゆかり</v>
      </c>
      <c r="E150" s="326"/>
      <c r="F150" s="470" t="s">
        <v>181</v>
      </c>
      <c r="G150" s="328">
        <v>2</v>
      </c>
      <c r="H150" s="326"/>
      <c r="I150" s="329" t="str">
        <f>'登録'!AS150</f>
        <v>藤中健太郎</v>
      </c>
      <c r="J150" s="330" t="str">
        <f>'登録'!AT150</f>
        <v>HRC</v>
      </c>
      <c r="L150" s="316" t="s">
        <v>180</v>
      </c>
    </row>
    <row r="151" spans="2:12" ht="15.75" customHeight="1">
      <c r="B151" s="432">
        <f>'登録'!AN151</f>
        <v>150</v>
      </c>
      <c r="C151" s="324" t="str">
        <f>'登録'!AQ151</f>
        <v>WRC</v>
      </c>
      <c r="D151" s="325" t="str">
        <f>'登録'!AR151</f>
        <v>末岡　修</v>
      </c>
      <c r="E151" s="326"/>
      <c r="F151" s="470" t="s">
        <v>181</v>
      </c>
      <c r="G151" s="328">
        <v>77</v>
      </c>
      <c r="H151" s="326"/>
      <c r="I151" s="329" t="str">
        <f>'登録'!AS151</f>
        <v>後藤 勇治</v>
      </c>
      <c r="J151" s="330" t="str">
        <f>'登録'!AT151</f>
        <v>HRC</v>
      </c>
      <c r="L151" s="316" t="s">
        <v>180</v>
      </c>
    </row>
    <row r="152" spans="2:12" ht="15.75" customHeight="1">
      <c r="B152" s="432">
        <f>'登録'!AN152</f>
        <v>151</v>
      </c>
      <c r="C152" s="324" t="str">
        <f>'登録'!AQ152</f>
        <v>WRC</v>
      </c>
      <c r="D152" s="325" t="str">
        <f>'登録'!AR152</f>
        <v>杉本 博章</v>
      </c>
      <c r="E152" s="326"/>
      <c r="F152" s="470" t="s">
        <v>181</v>
      </c>
      <c r="G152" s="328">
        <v>110</v>
      </c>
      <c r="H152" s="326"/>
      <c r="I152" s="329" t="str">
        <f>'登録'!AS152</f>
        <v>丹羽 俊也</v>
      </c>
      <c r="J152" s="330" t="str">
        <f>'登録'!AT152</f>
        <v>HRC</v>
      </c>
      <c r="L152" s="316" t="s">
        <v>180</v>
      </c>
    </row>
    <row r="153" spans="2:12" ht="15.75" customHeight="1">
      <c r="B153" s="432">
        <f>'登録'!AN153</f>
        <v>152</v>
      </c>
      <c r="C153" s="324" t="str">
        <f>'登録'!AQ153</f>
        <v>WRC</v>
      </c>
      <c r="D153" s="325" t="str">
        <f>'登録'!AR153</f>
        <v>丹次 力良</v>
      </c>
      <c r="E153" s="326"/>
      <c r="F153" s="470" t="s">
        <v>181</v>
      </c>
      <c r="G153" s="328">
        <v>86</v>
      </c>
      <c r="H153" s="326"/>
      <c r="I153" s="329" t="str">
        <f>'登録'!AS153</f>
        <v>平井 洸志</v>
      </c>
      <c r="J153" s="330" t="str">
        <f>'登録'!AT153</f>
        <v>HRC</v>
      </c>
      <c r="L153" s="316" t="s">
        <v>180</v>
      </c>
    </row>
    <row r="154" spans="2:12" ht="15.75" customHeight="1">
      <c r="B154" s="432">
        <f>'登録'!AN154</f>
        <v>153</v>
      </c>
      <c r="C154" s="324" t="str">
        <f>'登録'!AQ154</f>
        <v>WRC</v>
      </c>
      <c r="D154" s="325" t="str">
        <f>'登録'!AR154</f>
        <v>芝先 泰生</v>
      </c>
      <c r="E154" s="326"/>
      <c r="F154" s="327">
        <v>60</v>
      </c>
      <c r="G154" s="328" t="s">
        <v>181</v>
      </c>
      <c r="H154" s="326"/>
      <c r="I154" s="329" t="str">
        <f>'登録'!AS154</f>
        <v>栃下 恭子</v>
      </c>
      <c r="J154" s="330" t="str">
        <f>'登録'!AT154</f>
        <v>HRC</v>
      </c>
      <c r="L154" s="316" t="s">
        <v>180</v>
      </c>
    </row>
    <row r="155" spans="2:12" ht="15.75" customHeight="1" thickBot="1">
      <c r="B155" s="433">
        <f>'登録'!AN155</f>
        <v>154</v>
      </c>
      <c r="C155" s="331" t="str">
        <f>'登録'!AQ155</f>
        <v>WRC</v>
      </c>
      <c r="D155" s="332" t="str">
        <f>'登録'!AR155</f>
        <v>岸上 賢一</v>
      </c>
      <c r="E155" s="333"/>
      <c r="F155" s="469">
        <v>6</v>
      </c>
      <c r="G155" s="335" t="s">
        <v>181</v>
      </c>
      <c r="H155" s="333"/>
      <c r="I155" s="336" t="str">
        <f>'登録'!AS155</f>
        <v>堂園 雅也</v>
      </c>
      <c r="J155" s="337" t="str">
        <f>'登録'!AT155</f>
        <v>HRC</v>
      </c>
      <c r="L155" s="316" t="s">
        <v>180</v>
      </c>
    </row>
    <row r="156" spans="2:12" ht="15.75" customHeight="1">
      <c r="B156" s="431">
        <f>'登録'!AN156</f>
        <v>155</v>
      </c>
      <c r="C156" s="317" t="str">
        <f>'登録'!AQ156</f>
        <v>SBC</v>
      </c>
      <c r="D156" s="318" t="str">
        <f>'登録'!AR156</f>
        <v>高島 太一</v>
      </c>
      <c r="E156" s="319"/>
      <c r="F156" s="471" t="s">
        <v>181</v>
      </c>
      <c r="G156" s="321">
        <v>56</v>
      </c>
      <c r="H156" s="319"/>
      <c r="I156" s="322" t="str">
        <f>'登録'!AS156</f>
        <v>吉岡 保俊</v>
      </c>
      <c r="J156" s="323" t="str">
        <f>'登録'!AT156</f>
        <v>ORC</v>
      </c>
      <c r="L156" s="316" t="s">
        <v>180</v>
      </c>
    </row>
    <row r="157" spans="2:12" ht="15.75" customHeight="1">
      <c r="B157" s="432">
        <f>'登録'!AN157</f>
        <v>156</v>
      </c>
      <c r="C157" s="324" t="str">
        <f>'登録'!AQ157</f>
        <v>SBC</v>
      </c>
      <c r="D157" s="325" t="str">
        <f>'登録'!AR157</f>
        <v>須藤 浩章</v>
      </c>
      <c r="E157" s="326"/>
      <c r="F157" s="470">
        <v>84</v>
      </c>
      <c r="G157" s="328" t="s">
        <v>181</v>
      </c>
      <c r="H157" s="326"/>
      <c r="I157" s="329" t="str">
        <f>'登録'!AS157</f>
        <v>山田 玄英</v>
      </c>
      <c r="J157" s="330" t="str">
        <f>'登録'!AT157</f>
        <v>ORC</v>
      </c>
      <c r="L157" s="316" t="s">
        <v>180</v>
      </c>
    </row>
    <row r="158" spans="2:12" ht="15.75" customHeight="1">
      <c r="B158" s="432">
        <f>'登録'!AN158</f>
        <v>157</v>
      </c>
      <c r="C158" s="324" t="str">
        <f>'登録'!AQ158</f>
        <v>SBC</v>
      </c>
      <c r="D158" s="325" t="str">
        <f>'登録'!AR158</f>
        <v>酒井 美希</v>
      </c>
      <c r="E158" s="326"/>
      <c r="F158" s="470" t="s">
        <v>181</v>
      </c>
      <c r="G158" s="328">
        <v>75</v>
      </c>
      <c r="H158" s="326"/>
      <c r="I158" s="329" t="str">
        <f>'登録'!AS158</f>
        <v>由本　拓</v>
      </c>
      <c r="J158" s="330" t="str">
        <f>'登録'!AT158</f>
        <v>ORC</v>
      </c>
      <c r="L158" s="316" t="s">
        <v>180</v>
      </c>
    </row>
    <row r="159" spans="2:12" ht="15.75" customHeight="1">
      <c r="B159" s="432">
        <f>'登録'!AN159</f>
        <v>158</v>
      </c>
      <c r="C159" s="324" t="str">
        <f>'登録'!AQ159</f>
        <v>SBC</v>
      </c>
      <c r="D159" s="325" t="str">
        <f>'登録'!AR159</f>
        <v>西峰 久祐</v>
      </c>
      <c r="E159" s="326"/>
      <c r="F159" s="470">
        <v>33</v>
      </c>
      <c r="G159" s="328" t="s">
        <v>181</v>
      </c>
      <c r="H159" s="326"/>
      <c r="I159" s="329" t="str">
        <f>'登録'!AS159</f>
        <v>田中 隆介</v>
      </c>
      <c r="J159" s="330" t="str">
        <f>'登録'!AT159</f>
        <v>ORC</v>
      </c>
      <c r="L159" s="316" t="s">
        <v>180</v>
      </c>
    </row>
    <row r="160" spans="2:12" ht="15.75" customHeight="1">
      <c r="B160" s="432">
        <f>'登録'!AN160</f>
        <v>159</v>
      </c>
      <c r="C160" s="324" t="str">
        <f>'登録'!AQ160</f>
        <v>SBC</v>
      </c>
      <c r="D160" s="325" t="str">
        <f>'登録'!AR160</f>
        <v>長田 智紀</v>
      </c>
      <c r="E160" s="326"/>
      <c r="F160" s="470">
        <v>39</v>
      </c>
      <c r="G160" s="328" t="s">
        <v>181</v>
      </c>
      <c r="H160" s="326"/>
      <c r="I160" s="329" t="str">
        <f>'登録'!AS160</f>
        <v>西田 恵子</v>
      </c>
      <c r="J160" s="330" t="str">
        <f>'登録'!AT160</f>
        <v>ORC</v>
      </c>
      <c r="L160" s="316" t="s">
        <v>180</v>
      </c>
    </row>
    <row r="161" spans="2:12" ht="15.75" customHeight="1">
      <c r="B161" s="432">
        <f>'登録'!AN161</f>
        <v>160</v>
      </c>
      <c r="C161" s="324" t="str">
        <f>'登録'!AQ161</f>
        <v>SBC</v>
      </c>
      <c r="D161" s="325" t="str">
        <f>'登録'!AR161</f>
        <v>大橋 義治</v>
      </c>
      <c r="E161" s="326"/>
      <c r="F161" s="470" t="s">
        <v>181</v>
      </c>
      <c r="G161" s="328">
        <v>116</v>
      </c>
      <c r="H161" s="326"/>
      <c r="I161" s="329" t="str">
        <f>'登録'!AS161</f>
        <v>村上 泰辰</v>
      </c>
      <c r="J161" s="330" t="str">
        <f>'登録'!AT161</f>
        <v>ORC</v>
      </c>
      <c r="L161" s="316" t="s">
        <v>180</v>
      </c>
    </row>
    <row r="162" spans="2:12" ht="15.75" customHeight="1" thickBot="1">
      <c r="B162" s="433">
        <f>'登録'!AN162</f>
        <v>161</v>
      </c>
      <c r="C162" s="331" t="str">
        <f>'登録'!AQ162</f>
        <v>SBC</v>
      </c>
      <c r="D162" s="332" t="str">
        <f>'登録'!AR162</f>
        <v>山中 康寛</v>
      </c>
      <c r="E162" s="333"/>
      <c r="F162" s="469" t="s">
        <v>181</v>
      </c>
      <c r="G162" s="335">
        <v>45</v>
      </c>
      <c r="H162" s="333"/>
      <c r="I162" s="336" t="str">
        <f>'登録'!AS162</f>
        <v>乾　伸綱</v>
      </c>
      <c r="J162" s="337" t="str">
        <f>'登録'!AT162</f>
        <v>ORC</v>
      </c>
      <c r="L162" s="316" t="s">
        <v>180</v>
      </c>
    </row>
    <row r="163" spans="2:12" ht="15.75" customHeight="1">
      <c r="B163" s="431">
        <f>'登録'!AN163</f>
        <v>162</v>
      </c>
      <c r="C163" s="317" t="str">
        <f>'登録'!AQ163</f>
        <v>KRC</v>
      </c>
      <c r="D163" s="318" t="str">
        <f>'登録'!AR163</f>
        <v>折戸 和幸</v>
      </c>
      <c r="E163" s="319">
        <v>120</v>
      </c>
      <c r="F163" s="471" t="s">
        <v>181</v>
      </c>
      <c r="G163" s="321">
        <v>0</v>
      </c>
      <c r="H163" s="319"/>
      <c r="I163" s="322" t="str">
        <f>'登録'!AS163</f>
        <v>山田 普之</v>
      </c>
      <c r="J163" s="323" t="str">
        <f>'登録'!AT163</f>
        <v>NRC</v>
      </c>
      <c r="L163" s="316" t="s">
        <v>180</v>
      </c>
    </row>
    <row r="164" spans="2:12" ht="15.75" customHeight="1">
      <c r="B164" s="432">
        <f>'登録'!AN164</f>
        <v>163</v>
      </c>
      <c r="C164" s="324" t="str">
        <f>'登録'!AQ164</f>
        <v>KRC</v>
      </c>
      <c r="D164" s="325" t="str">
        <f>'登録'!AR164</f>
        <v>今村 哲也</v>
      </c>
      <c r="E164" s="326"/>
      <c r="F164" s="470" t="s">
        <v>181</v>
      </c>
      <c r="G164" s="328">
        <v>16</v>
      </c>
      <c r="H164" s="326"/>
      <c r="I164" s="329" t="str">
        <f>'登録'!AS164</f>
        <v>山田 晃司</v>
      </c>
      <c r="J164" s="330" t="str">
        <f>'登録'!AT164</f>
        <v>NRC</v>
      </c>
      <c r="L164" s="316" t="s">
        <v>180</v>
      </c>
    </row>
    <row r="165" spans="2:12" ht="15.75" customHeight="1">
      <c r="B165" s="432">
        <f>'登録'!AN165</f>
        <v>164</v>
      </c>
      <c r="C165" s="324" t="str">
        <f>'登録'!AQ165</f>
        <v>KRC</v>
      </c>
      <c r="D165" s="325" t="str">
        <f>'登録'!AR165</f>
        <v>小山 久博</v>
      </c>
      <c r="E165" s="326">
        <v>103</v>
      </c>
      <c r="F165" s="470" t="s">
        <v>181</v>
      </c>
      <c r="G165" s="328">
        <v>0</v>
      </c>
      <c r="H165" s="326"/>
      <c r="I165" s="329" t="str">
        <f>'登録'!AS165</f>
        <v>長谷川 進</v>
      </c>
      <c r="J165" s="330" t="str">
        <f>'登録'!AT165</f>
        <v>NRC</v>
      </c>
      <c r="L165" s="316" t="s">
        <v>180</v>
      </c>
    </row>
    <row r="166" spans="2:12" ht="15.75" customHeight="1">
      <c r="B166" s="432">
        <f>'登録'!AN166</f>
        <v>165</v>
      </c>
      <c r="C166" s="324" t="str">
        <f>'登録'!AQ166</f>
        <v>KRC</v>
      </c>
      <c r="D166" s="325" t="str">
        <f>'登録'!AR166</f>
        <v>伊庭 保久</v>
      </c>
      <c r="E166" s="326"/>
      <c r="F166" s="470" t="s">
        <v>181</v>
      </c>
      <c r="G166" s="328">
        <v>56</v>
      </c>
      <c r="H166" s="326"/>
      <c r="I166" s="329" t="str">
        <f>'登録'!AS166</f>
        <v>宮野 早織</v>
      </c>
      <c r="J166" s="330" t="str">
        <f>'登録'!AT166</f>
        <v>NRC</v>
      </c>
      <c r="L166" s="316" t="s">
        <v>180</v>
      </c>
    </row>
    <row r="167" spans="2:12" ht="15.75" customHeight="1">
      <c r="B167" s="432">
        <f>'登録'!AN167</f>
        <v>166</v>
      </c>
      <c r="C167" s="324" t="str">
        <f>'登録'!AQ167</f>
        <v>KRC</v>
      </c>
      <c r="D167" s="325" t="str">
        <f>'登録'!AR167</f>
        <v>菊池 靖正</v>
      </c>
      <c r="E167" s="326"/>
      <c r="F167" s="470">
        <v>0</v>
      </c>
      <c r="G167" s="328" t="s">
        <v>181</v>
      </c>
      <c r="H167" s="326">
        <v>120</v>
      </c>
      <c r="I167" s="329" t="str">
        <f>'登録'!AS167</f>
        <v>白戸 玲人</v>
      </c>
      <c r="J167" s="330" t="str">
        <f>'登録'!AT167</f>
        <v>NRC</v>
      </c>
      <c r="L167" s="316" t="s">
        <v>180</v>
      </c>
    </row>
    <row r="168" spans="2:12" ht="15.75" customHeight="1">
      <c r="B168" s="432">
        <f>'登録'!AN168</f>
        <v>167</v>
      </c>
      <c r="C168" s="324" t="str">
        <f>'登録'!AQ168</f>
        <v>KRC</v>
      </c>
      <c r="D168" s="325" t="str">
        <f>'登録'!AR168</f>
        <v>田附 裕次</v>
      </c>
      <c r="E168" s="326">
        <v>100</v>
      </c>
      <c r="F168" s="470" t="s">
        <v>181</v>
      </c>
      <c r="G168" s="328">
        <v>0</v>
      </c>
      <c r="H168" s="326"/>
      <c r="I168" s="329" t="str">
        <f>'登録'!AS168</f>
        <v>近藤 拓馬</v>
      </c>
      <c r="J168" s="330" t="str">
        <f>'登録'!AT168</f>
        <v>NRC</v>
      </c>
      <c r="L168" s="316" t="s">
        <v>180</v>
      </c>
    </row>
    <row r="169" spans="2:12" ht="15.75" customHeight="1" thickBot="1">
      <c r="B169" s="433">
        <f>'登録'!AN169</f>
        <v>168</v>
      </c>
      <c r="C169" s="331" t="str">
        <f>'登録'!AQ169</f>
        <v>KRC</v>
      </c>
      <c r="D169" s="332" t="str">
        <f>'登録'!AR169</f>
        <v>森田由佳里</v>
      </c>
      <c r="E169" s="333"/>
      <c r="F169" s="469">
        <v>6</v>
      </c>
      <c r="G169" s="335" t="s">
        <v>181</v>
      </c>
      <c r="H169" s="333"/>
      <c r="I169" s="336" t="str">
        <f>'登録'!AS169</f>
        <v>吉向 翔平</v>
      </c>
      <c r="J169" s="337" t="str">
        <f>'登録'!AT169</f>
        <v>NRC</v>
      </c>
      <c r="L169" s="316" t="s">
        <v>180</v>
      </c>
    </row>
    <row r="170" spans="2:12" ht="15.75" customHeight="1">
      <c r="B170" s="430">
        <f>'登録'!AN170</f>
        <v>169</v>
      </c>
      <c r="C170" s="317" t="str">
        <f>'登録'!AQ170</f>
        <v>SBC</v>
      </c>
      <c r="D170" s="318" t="str">
        <f>'登録'!AR170</f>
        <v>高島 太一</v>
      </c>
      <c r="E170" s="319"/>
      <c r="F170" s="471" t="s">
        <v>181</v>
      </c>
      <c r="G170" s="321">
        <v>63</v>
      </c>
      <c r="H170" s="319"/>
      <c r="I170" s="322" t="str">
        <f>'登録'!AS170</f>
        <v>中本 雅大</v>
      </c>
      <c r="J170" s="323" t="str">
        <f>'登録'!AT170</f>
        <v>WRC</v>
      </c>
      <c r="L170" s="316" t="s">
        <v>180</v>
      </c>
    </row>
    <row r="171" spans="2:12" ht="15.75" customHeight="1">
      <c r="B171" s="428">
        <f>'登録'!AN171</f>
        <v>170</v>
      </c>
      <c r="C171" s="324" t="str">
        <f>'登録'!AQ171</f>
        <v>SBC</v>
      </c>
      <c r="D171" s="325" t="str">
        <f>'登録'!AR171</f>
        <v>須藤 浩章</v>
      </c>
      <c r="E171" s="326"/>
      <c r="F171" s="470" t="s">
        <v>181</v>
      </c>
      <c r="G171" s="328">
        <v>60</v>
      </c>
      <c r="H171" s="326"/>
      <c r="I171" s="329" t="str">
        <f>'登録'!AS171</f>
        <v>松房ゆかり</v>
      </c>
      <c r="J171" s="330" t="str">
        <f>'登録'!AT171</f>
        <v>WRC</v>
      </c>
      <c r="L171" s="316" t="s">
        <v>180</v>
      </c>
    </row>
    <row r="172" spans="2:12" ht="15.75" customHeight="1">
      <c r="B172" s="428">
        <f>'登録'!AN172</f>
        <v>171</v>
      </c>
      <c r="C172" s="324" t="str">
        <f>'登録'!AQ172</f>
        <v>SBC</v>
      </c>
      <c r="D172" s="325" t="str">
        <f>'登録'!AR172</f>
        <v>酒井 美希</v>
      </c>
      <c r="E172" s="326"/>
      <c r="F172" s="470">
        <v>43</v>
      </c>
      <c r="G172" s="328" t="s">
        <v>181</v>
      </c>
      <c r="H172" s="326"/>
      <c r="I172" s="329" t="str">
        <f>'登録'!AS172</f>
        <v>末岡　修</v>
      </c>
      <c r="J172" s="330" t="str">
        <f>'登録'!AT172</f>
        <v>WRC</v>
      </c>
      <c r="L172" s="316" t="s">
        <v>180</v>
      </c>
    </row>
    <row r="173" spans="2:12" ht="15.75" customHeight="1">
      <c r="B173" s="428">
        <f>'登録'!AN173</f>
        <v>172</v>
      </c>
      <c r="C173" s="324" t="str">
        <f>'登録'!AQ173</f>
        <v>SBC</v>
      </c>
      <c r="D173" s="325" t="str">
        <f>'登録'!AR173</f>
        <v>西峰 久祐</v>
      </c>
      <c r="E173" s="326"/>
      <c r="F173" s="470">
        <v>1</v>
      </c>
      <c r="G173" s="328" t="s">
        <v>181</v>
      </c>
      <c r="H173" s="326"/>
      <c r="I173" s="329" t="str">
        <f>'登録'!AS173</f>
        <v>杉本 博章</v>
      </c>
      <c r="J173" s="330" t="str">
        <f>'登録'!AT173</f>
        <v>WRC</v>
      </c>
      <c r="L173" s="316" t="s">
        <v>180</v>
      </c>
    </row>
    <row r="174" spans="2:12" ht="15.75" customHeight="1">
      <c r="B174" s="428">
        <f>'登録'!AN174</f>
        <v>173</v>
      </c>
      <c r="C174" s="324" t="str">
        <f>'登録'!AQ174</f>
        <v>SBC</v>
      </c>
      <c r="D174" s="325" t="str">
        <f>'登録'!AR174</f>
        <v>長田 智紀</v>
      </c>
      <c r="E174" s="326"/>
      <c r="F174" s="470" t="s">
        <v>181</v>
      </c>
      <c r="G174" s="328">
        <v>54</v>
      </c>
      <c r="H174" s="326"/>
      <c r="I174" s="329" t="str">
        <f>'登録'!AS174</f>
        <v>丹次 力良</v>
      </c>
      <c r="J174" s="330" t="str">
        <f>'登録'!AT174</f>
        <v>WRC</v>
      </c>
      <c r="L174" s="316" t="s">
        <v>180</v>
      </c>
    </row>
    <row r="175" spans="2:12" ht="15.75" customHeight="1">
      <c r="B175" s="428">
        <f>'登録'!AN175</f>
        <v>174</v>
      </c>
      <c r="C175" s="324" t="str">
        <f>'登録'!AQ175</f>
        <v>SBC</v>
      </c>
      <c r="D175" s="325" t="str">
        <f>'登録'!AR175</f>
        <v>大橋 義治</v>
      </c>
      <c r="E175" s="326"/>
      <c r="F175" s="470" t="s">
        <v>181</v>
      </c>
      <c r="G175" s="328">
        <v>41</v>
      </c>
      <c r="H175" s="326"/>
      <c r="I175" s="329" t="str">
        <f>'登録'!AS175</f>
        <v>芝先 泰生</v>
      </c>
      <c r="J175" s="330" t="str">
        <f>'登録'!AT175</f>
        <v>WRC</v>
      </c>
      <c r="L175" s="316" t="s">
        <v>180</v>
      </c>
    </row>
    <row r="176" spans="2:12" ht="15.75" customHeight="1" thickBot="1">
      <c r="B176" s="429">
        <f>'登録'!AN176</f>
        <v>175</v>
      </c>
      <c r="C176" s="331" t="str">
        <f>'登録'!AQ176</f>
        <v>SBC</v>
      </c>
      <c r="D176" s="332" t="str">
        <f>'登録'!AR176</f>
        <v>山中 康寛</v>
      </c>
      <c r="E176" s="333"/>
      <c r="F176" s="469" t="s">
        <v>181</v>
      </c>
      <c r="G176" s="335">
        <v>55</v>
      </c>
      <c r="H176" s="333"/>
      <c r="I176" s="336" t="str">
        <f>'登録'!AS176</f>
        <v>岸上 賢一</v>
      </c>
      <c r="J176" s="337" t="str">
        <f>'登録'!AT176</f>
        <v>WRC</v>
      </c>
      <c r="L176" s="316" t="s">
        <v>180</v>
      </c>
    </row>
    <row r="177" spans="2:12" ht="15.75" customHeight="1">
      <c r="B177" s="430">
        <f>'登録'!AN177</f>
        <v>176</v>
      </c>
      <c r="C177" s="317" t="str">
        <f>'登録'!AQ177</f>
        <v>NRC</v>
      </c>
      <c r="D177" s="318" t="str">
        <f>'登録'!AR177</f>
        <v>山田 普之</v>
      </c>
      <c r="E177" s="319">
        <v>114</v>
      </c>
      <c r="F177" s="471" t="s">
        <v>181</v>
      </c>
      <c r="G177" s="321">
        <v>15</v>
      </c>
      <c r="H177" s="319"/>
      <c r="I177" s="322" t="str">
        <f>'登録'!AS177</f>
        <v>長井　充</v>
      </c>
      <c r="J177" s="323" t="str">
        <f>'登録'!AT177</f>
        <v>HRC</v>
      </c>
      <c r="L177" s="316" t="s">
        <v>180</v>
      </c>
    </row>
    <row r="178" spans="2:12" ht="15.75" customHeight="1">
      <c r="B178" s="428">
        <f>'登録'!AN178</f>
        <v>177</v>
      </c>
      <c r="C178" s="324" t="str">
        <f>'登録'!AQ178</f>
        <v>NRC</v>
      </c>
      <c r="D178" s="325" t="str">
        <f>'登録'!AR178</f>
        <v>山田 晃司</v>
      </c>
      <c r="E178" s="326"/>
      <c r="F178" s="470" t="s">
        <v>181</v>
      </c>
      <c r="G178" s="328">
        <v>50</v>
      </c>
      <c r="H178" s="326"/>
      <c r="I178" s="329" t="str">
        <f>'登録'!AS178</f>
        <v>藤中健太郎</v>
      </c>
      <c r="J178" s="330" t="str">
        <f>'登録'!AT178</f>
        <v>HRC</v>
      </c>
      <c r="L178" s="316" t="s">
        <v>180</v>
      </c>
    </row>
    <row r="179" spans="2:12" ht="15.75" customHeight="1">
      <c r="B179" s="428">
        <f>'登録'!AN179</f>
        <v>178</v>
      </c>
      <c r="C179" s="324" t="str">
        <f>'登録'!AQ179</f>
        <v>NRC</v>
      </c>
      <c r="D179" s="325" t="str">
        <f>'登録'!AR179</f>
        <v>長谷川 進</v>
      </c>
      <c r="E179" s="326"/>
      <c r="F179" s="470" t="s">
        <v>181</v>
      </c>
      <c r="G179" s="328">
        <v>81</v>
      </c>
      <c r="H179" s="326"/>
      <c r="I179" s="329" t="str">
        <f>'登録'!AS179</f>
        <v>後藤 勇治</v>
      </c>
      <c r="J179" s="330" t="str">
        <f>'登録'!AT179</f>
        <v>HRC</v>
      </c>
      <c r="L179" s="316" t="s">
        <v>180</v>
      </c>
    </row>
    <row r="180" spans="2:12" ht="15.75" customHeight="1">
      <c r="B180" s="428">
        <f>'登録'!AN180</f>
        <v>179</v>
      </c>
      <c r="C180" s="324" t="str">
        <f>'登録'!AQ180</f>
        <v>NRC</v>
      </c>
      <c r="D180" s="325" t="str">
        <f>'登録'!AR180</f>
        <v>宮野 早織</v>
      </c>
      <c r="E180" s="326"/>
      <c r="F180" s="470">
        <v>65</v>
      </c>
      <c r="G180" s="328" t="s">
        <v>181</v>
      </c>
      <c r="H180" s="326"/>
      <c r="I180" s="329" t="str">
        <f>'登録'!AS180</f>
        <v>丹羽 俊也</v>
      </c>
      <c r="J180" s="330" t="str">
        <f>'登録'!AT180</f>
        <v>HRC</v>
      </c>
      <c r="L180" s="316" t="s">
        <v>180</v>
      </c>
    </row>
    <row r="181" spans="2:12" ht="15.75" customHeight="1">
      <c r="B181" s="428">
        <f>'登録'!AN181</f>
        <v>180</v>
      </c>
      <c r="C181" s="324" t="str">
        <f>'登録'!AQ181</f>
        <v>NRC</v>
      </c>
      <c r="D181" s="325" t="str">
        <f>'登録'!AR181</f>
        <v>白戸 玲人</v>
      </c>
      <c r="E181" s="326"/>
      <c r="F181" s="470">
        <v>52</v>
      </c>
      <c r="G181" s="328" t="s">
        <v>181</v>
      </c>
      <c r="H181" s="326"/>
      <c r="I181" s="329" t="str">
        <f>'登録'!AS181</f>
        <v>平井 洸志</v>
      </c>
      <c r="J181" s="330" t="str">
        <f>'登録'!AT181</f>
        <v>HRC</v>
      </c>
      <c r="L181" s="316" t="s">
        <v>180</v>
      </c>
    </row>
    <row r="182" spans="2:12" ht="15.75" customHeight="1">
      <c r="B182" s="428">
        <f>'登録'!AN182</f>
        <v>181</v>
      </c>
      <c r="C182" s="324" t="str">
        <f>'登録'!AQ182</f>
        <v>NRC</v>
      </c>
      <c r="D182" s="325" t="str">
        <f>'登録'!AR182</f>
        <v>近藤 拓馬</v>
      </c>
      <c r="E182" s="326"/>
      <c r="F182" s="470">
        <v>111</v>
      </c>
      <c r="G182" s="328" t="s">
        <v>181</v>
      </c>
      <c r="H182" s="326"/>
      <c r="I182" s="329" t="str">
        <f>'登録'!AS182</f>
        <v>栃下 恭子</v>
      </c>
      <c r="J182" s="330" t="str">
        <f>'登録'!AT182</f>
        <v>HRC</v>
      </c>
      <c r="L182" s="316" t="s">
        <v>180</v>
      </c>
    </row>
    <row r="183" spans="2:12" ht="15.75" customHeight="1" thickBot="1">
      <c r="B183" s="429">
        <f>'登録'!AN183</f>
        <v>182</v>
      </c>
      <c r="C183" s="331" t="str">
        <f>'登録'!AQ183</f>
        <v>NRC</v>
      </c>
      <c r="D183" s="332" t="str">
        <f>'登録'!AR183</f>
        <v>吉向 翔平</v>
      </c>
      <c r="E183" s="333"/>
      <c r="F183" s="469" t="s">
        <v>181</v>
      </c>
      <c r="G183" s="335">
        <v>60</v>
      </c>
      <c r="H183" s="333"/>
      <c r="I183" s="336" t="str">
        <f>'登録'!AS183</f>
        <v>堂園 雅也</v>
      </c>
      <c r="J183" s="337" t="str">
        <f>'登録'!AT183</f>
        <v>HRC</v>
      </c>
      <c r="L183" s="316" t="s">
        <v>180</v>
      </c>
    </row>
    <row r="184" spans="2:12" ht="15.75" customHeight="1">
      <c r="B184" s="430">
        <f>'登録'!AN184</f>
        <v>183</v>
      </c>
      <c r="C184" s="317" t="str">
        <f>'登録'!AQ184</f>
        <v>KRC</v>
      </c>
      <c r="D184" s="318" t="str">
        <f>'登録'!AR184</f>
        <v>折戸 和幸</v>
      </c>
      <c r="E184" s="319">
        <v>109</v>
      </c>
      <c r="F184" s="471" t="s">
        <v>181</v>
      </c>
      <c r="G184" s="321">
        <v>0</v>
      </c>
      <c r="H184" s="319"/>
      <c r="I184" s="322" t="str">
        <f>'登録'!AS184</f>
        <v>吉岡 保俊</v>
      </c>
      <c r="J184" s="323" t="str">
        <f>'登録'!AT184</f>
        <v>ORC</v>
      </c>
      <c r="L184" s="316" t="s">
        <v>180</v>
      </c>
    </row>
    <row r="185" spans="2:12" ht="15.75" customHeight="1">
      <c r="B185" s="428">
        <f>'登録'!AN185</f>
        <v>184</v>
      </c>
      <c r="C185" s="324" t="str">
        <f>'登録'!AQ185</f>
        <v>KRC</v>
      </c>
      <c r="D185" s="325" t="str">
        <f>'登録'!AR185</f>
        <v>今村 哲也</v>
      </c>
      <c r="E185" s="326"/>
      <c r="F185" s="470" t="s">
        <v>181</v>
      </c>
      <c r="G185" s="328">
        <v>0</v>
      </c>
      <c r="H185" s="326"/>
      <c r="I185" s="329" t="str">
        <f>'登録'!AS185</f>
        <v>山田 玄英</v>
      </c>
      <c r="J185" s="330" t="str">
        <f>'登録'!AT185</f>
        <v>ORC</v>
      </c>
      <c r="L185" s="316" t="s">
        <v>180</v>
      </c>
    </row>
    <row r="186" spans="2:12" ht="15.75" customHeight="1">
      <c r="B186" s="428">
        <f>'登録'!AN186</f>
        <v>185</v>
      </c>
      <c r="C186" s="324" t="str">
        <f>'登録'!AQ186</f>
        <v>KRC</v>
      </c>
      <c r="D186" s="325" t="str">
        <f>'登録'!AR186</f>
        <v>小山 久博</v>
      </c>
      <c r="E186" s="326"/>
      <c r="F186" s="470" t="s">
        <v>181</v>
      </c>
      <c r="G186" s="328">
        <v>80</v>
      </c>
      <c r="H186" s="326"/>
      <c r="I186" s="329" t="str">
        <f>'登録'!AS186</f>
        <v>由本　拓</v>
      </c>
      <c r="J186" s="330" t="str">
        <f>'登録'!AT186</f>
        <v>ORC</v>
      </c>
      <c r="L186" s="316" t="s">
        <v>180</v>
      </c>
    </row>
    <row r="187" spans="2:12" ht="15.75" customHeight="1">
      <c r="B187" s="428">
        <f>'登録'!AN187</f>
        <v>186</v>
      </c>
      <c r="C187" s="324" t="str">
        <f>'登録'!AQ187</f>
        <v>KRC</v>
      </c>
      <c r="D187" s="325" t="str">
        <f>'登録'!AR187</f>
        <v>伊庭 保久</v>
      </c>
      <c r="E187" s="326"/>
      <c r="F187" s="470" t="s">
        <v>181</v>
      </c>
      <c r="G187" s="328">
        <v>54</v>
      </c>
      <c r="H187" s="326"/>
      <c r="I187" s="329" t="str">
        <f>'登録'!AS187</f>
        <v>田中 隆介</v>
      </c>
      <c r="J187" s="330" t="str">
        <f>'登録'!AT187</f>
        <v>ORC</v>
      </c>
      <c r="L187" s="316" t="s">
        <v>180</v>
      </c>
    </row>
    <row r="188" spans="2:12" ht="15.75" customHeight="1">
      <c r="B188" s="428">
        <f>'登録'!AN188</f>
        <v>187</v>
      </c>
      <c r="C188" s="324" t="str">
        <f>'登録'!AQ188</f>
        <v>KRC</v>
      </c>
      <c r="D188" s="325" t="str">
        <f>'登録'!AR188</f>
        <v>菊池 靖正</v>
      </c>
      <c r="E188" s="326"/>
      <c r="F188" s="470">
        <v>68</v>
      </c>
      <c r="G188" s="328" t="s">
        <v>181</v>
      </c>
      <c r="H188" s="326"/>
      <c r="I188" s="329" t="str">
        <f>'登録'!AS188</f>
        <v>西田 恵子</v>
      </c>
      <c r="J188" s="330" t="str">
        <f>'登録'!AT188</f>
        <v>ORC</v>
      </c>
      <c r="L188" s="316" t="s">
        <v>180</v>
      </c>
    </row>
    <row r="189" spans="2:12" ht="15.75" customHeight="1">
      <c r="B189" s="428">
        <f>'登録'!AN189</f>
        <v>188</v>
      </c>
      <c r="C189" s="324" t="str">
        <f>'登録'!AQ189</f>
        <v>KRC</v>
      </c>
      <c r="D189" s="325" t="str">
        <f>'登録'!AR189</f>
        <v>田附 裕次</v>
      </c>
      <c r="E189" s="326"/>
      <c r="F189" s="470">
        <v>0</v>
      </c>
      <c r="G189" s="328" t="s">
        <v>181</v>
      </c>
      <c r="H189" s="326" t="s">
        <v>183</v>
      </c>
      <c r="I189" s="329" t="str">
        <f>'登録'!AS189</f>
        <v>村上 泰辰</v>
      </c>
      <c r="J189" s="330" t="str">
        <f>'登録'!AT189</f>
        <v>ORC</v>
      </c>
      <c r="L189" s="316" t="s">
        <v>180</v>
      </c>
    </row>
    <row r="190" spans="2:12" ht="15.75" customHeight="1" thickBot="1">
      <c r="B190" s="429">
        <f>'登録'!AN190</f>
        <v>189</v>
      </c>
      <c r="C190" s="331" t="str">
        <f>'登録'!AQ190</f>
        <v>KRC</v>
      </c>
      <c r="D190" s="332" t="str">
        <f>'登録'!AR190</f>
        <v>森田由佳里</v>
      </c>
      <c r="E190" s="333"/>
      <c r="F190" s="469">
        <v>29</v>
      </c>
      <c r="G190" s="335" t="s">
        <v>181</v>
      </c>
      <c r="H190" s="333"/>
      <c r="I190" s="336" t="str">
        <f>'登録'!AS190</f>
        <v>乾　伸綱</v>
      </c>
      <c r="J190" s="337" t="str">
        <f>'登録'!AT190</f>
        <v>ORC</v>
      </c>
      <c r="L190" s="316" t="s">
        <v>180</v>
      </c>
    </row>
    <row r="191" spans="2:12" ht="15.75" customHeight="1">
      <c r="B191" s="431">
        <f>'登録'!AN191</f>
        <v>190</v>
      </c>
      <c r="C191" s="317" t="str">
        <f>'登録'!AQ191</f>
        <v>NRC</v>
      </c>
      <c r="D191" s="318" t="str">
        <f>'登録'!AR191</f>
        <v>山田 普之</v>
      </c>
      <c r="E191" s="319">
        <v>120</v>
      </c>
      <c r="F191" s="471" t="s">
        <v>181</v>
      </c>
      <c r="G191" s="321">
        <v>84</v>
      </c>
      <c r="H191" s="319"/>
      <c r="I191" s="322" t="str">
        <f>'登録'!AS191</f>
        <v>高島 太一</v>
      </c>
      <c r="J191" s="323" t="str">
        <f>'登録'!AT191</f>
        <v>SBC</v>
      </c>
      <c r="L191" s="316" t="s">
        <v>180</v>
      </c>
    </row>
    <row r="192" spans="2:12" ht="15.75" customHeight="1">
      <c r="B192" s="432">
        <f>'登録'!AN192</f>
        <v>191</v>
      </c>
      <c r="C192" s="324" t="str">
        <f>'登録'!AQ192</f>
        <v>NRC</v>
      </c>
      <c r="D192" s="325" t="str">
        <f>'登録'!AR192</f>
        <v>山田 晃司</v>
      </c>
      <c r="E192" s="326"/>
      <c r="F192" s="470" t="s">
        <v>181</v>
      </c>
      <c r="G192" s="328">
        <v>100</v>
      </c>
      <c r="H192" s="326"/>
      <c r="I192" s="329" t="str">
        <f>'登録'!AS192</f>
        <v>須藤 浩章</v>
      </c>
      <c r="J192" s="330" t="str">
        <f>'登録'!AT192</f>
        <v>SBC</v>
      </c>
      <c r="L192" s="316" t="s">
        <v>180</v>
      </c>
    </row>
    <row r="193" spans="2:12" ht="15.75" customHeight="1">
      <c r="B193" s="432">
        <f>'登録'!AN193</f>
        <v>192</v>
      </c>
      <c r="C193" s="324" t="str">
        <f>'登録'!AQ193</f>
        <v>NRC</v>
      </c>
      <c r="D193" s="325" t="str">
        <f>'登録'!AR193</f>
        <v>長谷川 進</v>
      </c>
      <c r="E193" s="326"/>
      <c r="F193" s="470" t="s">
        <v>181</v>
      </c>
      <c r="G193" s="328">
        <v>58</v>
      </c>
      <c r="H193" s="326"/>
      <c r="I193" s="329" t="str">
        <f>'登録'!AS193</f>
        <v>酒井 美希</v>
      </c>
      <c r="J193" s="330" t="str">
        <f>'登録'!AT193</f>
        <v>SBC</v>
      </c>
      <c r="L193" s="316" t="s">
        <v>180</v>
      </c>
    </row>
    <row r="194" spans="2:12" ht="15.75" customHeight="1">
      <c r="B194" s="432">
        <f>'登録'!AN194</f>
        <v>193</v>
      </c>
      <c r="C194" s="324" t="str">
        <f>'登録'!AQ194</f>
        <v>NRC</v>
      </c>
      <c r="D194" s="325" t="str">
        <f>'登録'!AR194</f>
        <v>宮野 早織</v>
      </c>
      <c r="E194" s="326"/>
      <c r="F194" s="470">
        <v>17</v>
      </c>
      <c r="G194" s="328" t="s">
        <v>181</v>
      </c>
      <c r="H194" s="326"/>
      <c r="I194" s="329" t="str">
        <f>'登録'!AS194</f>
        <v>西峰 久祐</v>
      </c>
      <c r="J194" s="330" t="str">
        <f>'登録'!AT194</f>
        <v>SBC</v>
      </c>
      <c r="L194" s="316" t="s">
        <v>180</v>
      </c>
    </row>
    <row r="195" spans="2:12" ht="15.75" customHeight="1">
      <c r="B195" s="432">
        <f>'登録'!AN195</f>
        <v>194</v>
      </c>
      <c r="C195" s="324" t="str">
        <f>'登録'!AQ195</f>
        <v>NRC</v>
      </c>
      <c r="D195" s="325" t="str">
        <f>'登録'!AR195</f>
        <v>白戸 玲人</v>
      </c>
      <c r="E195" s="326"/>
      <c r="F195" s="470" t="s">
        <v>181</v>
      </c>
      <c r="G195" s="328">
        <v>33</v>
      </c>
      <c r="H195" s="326"/>
      <c r="I195" s="329" t="str">
        <f>'登録'!AS195</f>
        <v>長田 智紀</v>
      </c>
      <c r="J195" s="330" t="str">
        <f>'登録'!AT195</f>
        <v>SBC</v>
      </c>
      <c r="L195" s="316" t="s">
        <v>180</v>
      </c>
    </row>
    <row r="196" spans="2:12" ht="15.75" customHeight="1">
      <c r="B196" s="432">
        <f>'登録'!AN196</f>
        <v>195</v>
      </c>
      <c r="C196" s="324" t="str">
        <f>'登録'!AQ196</f>
        <v>NRC</v>
      </c>
      <c r="D196" s="325" t="str">
        <f>'登録'!AR196</f>
        <v>近藤 拓馬</v>
      </c>
      <c r="E196" s="326"/>
      <c r="F196" s="470">
        <v>22</v>
      </c>
      <c r="G196" s="328" t="s">
        <v>181</v>
      </c>
      <c r="H196" s="326"/>
      <c r="I196" s="329" t="str">
        <f>'登録'!AS196</f>
        <v>大橋 義治</v>
      </c>
      <c r="J196" s="330" t="str">
        <f>'登録'!AT196</f>
        <v>SBC</v>
      </c>
      <c r="L196" s="316" t="s">
        <v>180</v>
      </c>
    </row>
    <row r="197" spans="2:12" ht="15.75" customHeight="1" thickBot="1">
      <c r="B197" s="433">
        <f>'登録'!AN197</f>
        <v>196</v>
      </c>
      <c r="C197" s="331" t="str">
        <f>'登録'!AQ197</f>
        <v>NRC</v>
      </c>
      <c r="D197" s="332" t="str">
        <f>'登録'!AR197</f>
        <v>吉向 翔平</v>
      </c>
      <c r="E197" s="333"/>
      <c r="F197" s="469">
        <v>90</v>
      </c>
      <c r="G197" s="335" t="s">
        <v>181</v>
      </c>
      <c r="H197" s="333"/>
      <c r="I197" s="336" t="str">
        <f>'登録'!AS197</f>
        <v>山中 康寛</v>
      </c>
      <c r="J197" s="337" t="str">
        <f>'登録'!AT197</f>
        <v>SBC</v>
      </c>
      <c r="L197" s="316" t="s">
        <v>180</v>
      </c>
    </row>
    <row r="198" spans="2:12" ht="15.75" customHeight="1">
      <c r="B198" s="431">
        <f>'登録'!AN198</f>
        <v>197</v>
      </c>
      <c r="C198" s="317" t="str">
        <f>'登録'!AQ198</f>
        <v>ORC</v>
      </c>
      <c r="D198" s="318" t="str">
        <f>'登録'!AR198</f>
        <v>吉岡 保俊</v>
      </c>
      <c r="E198" s="319"/>
      <c r="F198" s="320" t="s">
        <v>181</v>
      </c>
      <c r="G198" s="321">
        <v>13</v>
      </c>
      <c r="H198" s="319"/>
      <c r="I198" s="322" t="str">
        <f>'登録'!AS198</f>
        <v>中本 雅大</v>
      </c>
      <c r="J198" s="323" t="str">
        <f>'登録'!AT198</f>
        <v>WRC</v>
      </c>
      <c r="L198" s="316" t="s">
        <v>180</v>
      </c>
    </row>
    <row r="199" spans="2:12" ht="15.75" customHeight="1">
      <c r="B199" s="432">
        <f>'登録'!AN199</f>
        <v>198</v>
      </c>
      <c r="C199" s="324" t="str">
        <f>'登録'!AQ199</f>
        <v>ORC</v>
      </c>
      <c r="D199" s="325" t="str">
        <f>'登録'!AR199</f>
        <v>山田 玄英</v>
      </c>
      <c r="E199" s="326"/>
      <c r="F199" s="470">
        <v>52</v>
      </c>
      <c r="G199" s="328" t="s">
        <v>181</v>
      </c>
      <c r="H199" s="326"/>
      <c r="I199" s="329" t="str">
        <f>'登録'!AS199</f>
        <v>松房ゆかり</v>
      </c>
      <c r="J199" s="330" t="str">
        <f>'登録'!AT199</f>
        <v>WRC</v>
      </c>
      <c r="L199" s="316" t="s">
        <v>180</v>
      </c>
    </row>
    <row r="200" spans="2:12" ht="15.75" customHeight="1">
      <c r="B200" s="432">
        <f>'登録'!AN200</f>
        <v>199</v>
      </c>
      <c r="C200" s="324" t="str">
        <f>'登録'!AQ200</f>
        <v>ORC</v>
      </c>
      <c r="D200" s="325" t="str">
        <f>'登録'!AR200</f>
        <v>由本　拓</v>
      </c>
      <c r="E200" s="326"/>
      <c r="F200" s="470">
        <v>49</v>
      </c>
      <c r="G200" s="328" t="s">
        <v>181</v>
      </c>
      <c r="H200" s="326"/>
      <c r="I200" s="329" t="str">
        <f>'登録'!AS200</f>
        <v>末岡　修</v>
      </c>
      <c r="J200" s="330" t="str">
        <f>'登録'!AT200</f>
        <v>WRC</v>
      </c>
      <c r="L200" s="316" t="s">
        <v>180</v>
      </c>
    </row>
    <row r="201" spans="2:12" ht="15.75" customHeight="1">
      <c r="B201" s="432">
        <f>'登録'!AN201</f>
        <v>200</v>
      </c>
      <c r="C201" s="324" t="str">
        <f>'登録'!AQ201</f>
        <v>ORC</v>
      </c>
      <c r="D201" s="325" t="str">
        <f>'登録'!AR201</f>
        <v>田中 隆介</v>
      </c>
      <c r="E201" s="326"/>
      <c r="F201" s="470" t="s">
        <v>181</v>
      </c>
      <c r="G201" s="328">
        <v>9</v>
      </c>
      <c r="H201" s="326"/>
      <c r="I201" s="329" t="str">
        <f>'登録'!AS201</f>
        <v>杉本 博章</v>
      </c>
      <c r="J201" s="330" t="str">
        <f>'登録'!AT201</f>
        <v>WRC</v>
      </c>
      <c r="L201" s="316" t="s">
        <v>180</v>
      </c>
    </row>
    <row r="202" spans="2:12" ht="15.75" customHeight="1">
      <c r="B202" s="432">
        <f>'登録'!AN202</f>
        <v>201</v>
      </c>
      <c r="C202" s="324" t="str">
        <f>'登録'!AQ202</f>
        <v>ORC</v>
      </c>
      <c r="D202" s="325" t="str">
        <f>'登録'!AR202</f>
        <v>西田 恵子</v>
      </c>
      <c r="E202" s="326"/>
      <c r="F202" s="470">
        <v>24</v>
      </c>
      <c r="G202" s="328" t="s">
        <v>181</v>
      </c>
      <c r="H202" s="326"/>
      <c r="I202" s="329" t="str">
        <f>'登録'!AS202</f>
        <v>丹次 力良</v>
      </c>
      <c r="J202" s="330" t="str">
        <f>'登録'!AT202</f>
        <v>WRC</v>
      </c>
      <c r="L202" s="316" t="s">
        <v>180</v>
      </c>
    </row>
    <row r="203" spans="2:12" ht="15.75" customHeight="1">
      <c r="B203" s="432">
        <f>'登録'!AN203</f>
        <v>202</v>
      </c>
      <c r="C203" s="324" t="str">
        <f>'登録'!AQ203</f>
        <v>ORC</v>
      </c>
      <c r="D203" s="325" t="str">
        <f>'登録'!AR203</f>
        <v>村上 泰辰</v>
      </c>
      <c r="E203" s="326"/>
      <c r="F203" s="470" t="s">
        <v>181</v>
      </c>
      <c r="G203" s="328">
        <v>108</v>
      </c>
      <c r="H203" s="326"/>
      <c r="I203" s="329" t="str">
        <f>'登録'!AS203</f>
        <v>芝先 泰生</v>
      </c>
      <c r="J203" s="330" t="str">
        <f>'登録'!AT203</f>
        <v>WRC</v>
      </c>
      <c r="L203" s="316" t="s">
        <v>180</v>
      </c>
    </row>
    <row r="204" spans="2:12" ht="15.75" customHeight="1" thickBot="1">
      <c r="B204" s="433">
        <f>'登録'!AN204</f>
        <v>203</v>
      </c>
      <c r="C204" s="331" t="str">
        <f>'登録'!AQ204</f>
        <v>ORC</v>
      </c>
      <c r="D204" s="332" t="str">
        <f>'登録'!AR204</f>
        <v>乾　伸綱</v>
      </c>
      <c r="E204" s="333"/>
      <c r="F204" s="469">
        <v>9</v>
      </c>
      <c r="G204" s="335" t="s">
        <v>181</v>
      </c>
      <c r="H204" s="333"/>
      <c r="I204" s="336" t="str">
        <f>'登録'!AS204</f>
        <v>岸上 賢一</v>
      </c>
      <c r="J204" s="337" t="str">
        <f>'登録'!AT204</f>
        <v>WRC</v>
      </c>
      <c r="L204" s="316" t="s">
        <v>180</v>
      </c>
    </row>
    <row r="205" spans="2:12" ht="15.75" customHeight="1">
      <c r="B205" s="431">
        <f>'登録'!AN205</f>
        <v>204</v>
      </c>
      <c r="C205" s="317" t="str">
        <f>'登録'!AQ205</f>
        <v>KRC</v>
      </c>
      <c r="D205" s="318" t="str">
        <f>'登録'!AR205</f>
        <v>折戸 和幸</v>
      </c>
      <c r="E205" s="319"/>
      <c r="F205" s="471" t="s">
        <v>181</v>
      </c>
      <c r="G205" s="321">
        <v>64</v>
      </c>
      <c r="H205" s="319"/>
      <c r="I205" s="322" t="str">
        <f>'登録'!AS205</f>
        <v>長井　充</v>
      </c>
      <c r="J205" s="323" t="str">
        <f>'登録'!AT205</f>
        <v>HRC</v>
      </c>
      <c r="L205" s="316" t="s">
        <v>180</v>
      </c>
    </row>
    <row r="206" spans="2:12" ht="15.75" customHeight="1">
      <c r="B206" s="432">
        <f>'登録'!AN206</f>
        <v>205</v>
      </c>
      <c r="C206" s="324" t="str">
        <f>'登録'!AQ206</f>
        <v>KRC</v>
      </c>
      <c r="D206" s="325" t="str">
        <f>'登録'!AR206</f>
        <v>今村 哲也</v>
      </c>
      <c r="E206" s="326"/>
      <c r="F206" s="470" t="s">
        <v>181</v>
      </c>
      <c r="G206" s="328">
        <v>13</v>
      </c>
      <c r="H206" s="326"/>
      <c r="I206" s="329" t="str">
        <f>'登録'!AS206</f>
        <v>藤中健太郎</v>
      </c>
      <c r="J206" s="330" t="str">
        <f>'登録'!AT206</f>
        <v>HRC</v>
      </c>
      <c r="L206" s="316" t="s">
        <v>180</v>
      </c>
    </row>
    <row r="207" spans="2:12" ht="15.75" customHeight="1">
      <c r="B207" s="432">
        <f>'登録'!AN207</f>
        <v>206</v>
      </c>
      <c r="C207" s="324" t="str">
        <f>'登録'!AQ207</f>
        <v>KRC</v>
      </c>
      <c r="D207" s="325" t="str">
        <f>'登録'!AR207</f>
        <v>小山 久博</v>
      </c>
      <c r="E207" s="326"/>
      <c r="F207" s="470" t="s">
        <v>181</v>
      </c>
      <c r="G207" s="328">
        <v>16</v>
      </c>
      <c r="H207" s="326"/>
      <c r="I207" s="329" t="str">
        <f>'登録'!AS207</f>
        <v>後藤 勇治</v>
      </c>
      <c r="J207" s="330" t="str">
        <f>'登録'!AT207</f>
        <v>HRC</v>
      </c>
      <c r="L207" s="316" t="s">
        <v>180</v>
      </c>
    </row>
    <row r="208" spans="2:12" ht="15.75" customHeight="1">
      <c r="B208" s="432">
        <f>'登録'!AN208</f>
        <v>207</v>
      </c>
      <c r="C208" s="324" t="str">
        <f>'登録'!AQ208</f>
        <v>KRC</v>
      </c>
      <c r="D208" s="325" t="str">
        <f>'登録'!AR208</f>
        <v>伊庭 保久</v>
      </c>
      <c r="E208" s="326">
        <v>107</v>
      </c>
      <c r="F208" s="470" t="s">
        <v>181</v>
      </c>
      <c r="G208" s="328">
        <v>0</v>
      </c>
      <c r="H208" s="326"/>
      <c r="I208" s="329" t="str">
        <f>'登録'!AS208</f>
        <v>丹羽 俊也</v>
      </c>
      <c r="J208" s="330" t="str">
        <f>'登録'!AT208</f>
        <v>HRC</v>
      </c>
      <c r="L208" s="316" t="s">
        <v>180</v>
      </c>
    </row>
    <row r="209" spans="2:12" ht="15.75" customHeight="1">
      <c r="B209" s="432">
        <f>'登録'!AN209</f>
        <v>208</v>
      </c>
      <c r="C209" s="324" t="str">
        <f>'登録'!AQ209</f>
        <v>KRC</v>
      </c>
      <c r="D209" s="325" t="str">
        <f>'登録'!AR209</f>
        <v>菊池 靖正</v>
      </c>
      <c r="E209" s="326"/>
      <c r="F209" s="470" t="s">
        <v>181</v>
      </c>
      <c r="G209" s="328">
        <v>30</v>
      </c>
      <c r="H209" s="326"/>
      <c r="I209" s="329" t="str">
        <f>'登録'!AS209</f>
        <v>平井 洸志</v>
      </c>
      <c r="J209" s="330" t="str">
        <f>'登録'!AT209</f>
        <v>HRC</v>
      </c>
      <c r="L209" s="316" t="s">
        <v>180</v>
      </c>
    </row>
    <row r="210" spans="2:12" ht="15.75" customHeight="1">
      <c r="B210" s="432">
        <f>'登録'!AN210</f>
        <v>209</v>
      </c>
      <c r="C210" s="324" t="str">
        <f>'登録'!AQ210</f>
        <v>KRC</v>
      </c>
      <c r="D210" s="325" t="str">
        <f>'登録'!AR210</f>
        <v>田附 裕次</v>
      </c>
      <c r="E210" s="326"/>
      <c r="F210" s="470" t="s">
        <v>181</v>
      </c>
      <c r="G210" s="328">
        <v>66</v>
      </c>
      <c r="H210" s="326"/>
      <c r="I210" s="329" t="str">
        <f>'登録'!AS210</f>
        <v>栃下 恭子</v>
      </c>
      <c r="J210" s="330" t="str">
        <f>'登録'!AT210</f>
        <v>HRC</v>
      </c>
      <c r="L210" s="316" t="s">
        <v>180</v>
      </c>
    </row>
    <row r="211" spans="2:12" ht="15.75" customHeight="1" thickBot="1">
      <c r="B211" s="433">
        <f>'登録'!AN211</f>
        <v>210</v>
      </c>
      <c r="C211" s="331" t="str">
        <f>'登録'!AQ211</f>
        <v>KRC</v>
      </c>
      <c r="D211" s="332" t="str">
        <f>'登録'!AR211</f>
        <v>森田由佳里</v>
      </c>
      <c r="E211" s="333"/>
      <c r="F211" s="469">
        <v>86</v>
      </c>
      <c r="G211" s="335" t="s">
        <v>181</v>
      </c>
      <c r="H211" s="333"/>
      <c r="I211" s="336" t="str">
        <f>'登録'!AS211</f>
        <v>堂園 雅也</v>
      </c>
      <c r="J211" s="337" t="str">
        <f>'登録'!AT211</f>
        <v>HRC</v>
      </c>
      <c r="L211" s="316" t="s">
        <v>180</v>
      </c>
    </row>
  </sheetData>
  <sheetProtection/>
  <autoFilter ref="A1:J211"/>
  <conditionalFormatting sqref="C2:C211">
    <cfRule type="cellIs" priority="1" dxfId="9" operator="equal" stopIfTrue="1">
      <formula>C1</formula>
    </cfRule>
  </conditionalFormatting>
  <conditionalFormatting sqref="J2:J211">
    <cfRule type="cellIs" priority="2" dxfId="9" operator="equal" stopIfTrue="1">
      <formula>$J1</formula>
    </cfRule>
  </conditionalFormatting>
  <dataValidations count="1">
    <dataValidation allowBlank="1" showInputMessage="1" showErrorMessage="1" imeMode="disabled" sqref="E2:H211"/>
  </dataValidation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W22"/>
  <sheetViews>
    <sheetView zoomScale="85" zoomScaleNormal="85" zoomScalePageLayoutView="0" workbookViewId="0" topLeftCell="A6">
      <selection activeCell="O6" sqref="O6"/>
    </sheetView>
  </sheetViews>
  <sheetFormatPr defaultColWidth="3.625" defaultRowHeight="13.5"/>
  <cols>
    <col min="1" max="3" width="3.875" style="13" customWidth="1"/>
    <col min="4" max="15" width="6.75390625" style="13" customWidth="1"/>
    <col min="16" max="17" width="7.50390625" style="13" customWidth="1"/>
    <col min="18" max="18" width="15.00390625" style="13" customWidth="1"/>
    <col min="19" max="19" width="10.125" style="13" customWidth="1"/>
    <col min="20" max="22" width="3.625" style="13" customWidth="1"/>
    <col min="23" max="23" width="15.625" style="13" customWidth="1"/>
    <col min="24" max="16384" width="3.625" style="13" customWidth="1"/>
  </cols>
  <sheetData>
    <row r="1" spans="1:19" ht="13.5" customHeight="1">
      <c r="A1" s="517" t="str">
        <f>'★個人成績表★'!A1</f>
        <v>第28回　京阪神和奈滋対抗戦　　　(大阪；玉出エース)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</row>
    <row r="2" spans="1:19" ht="13.5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</row>
    <row r="3" ht="13.5" customHeight="1" thickBot="1">
      <c r="S3" s="18"/>
    </row>
    <row r="4" spans="1:19" ht="28.5" customHeight="1" thickBot="1">
      <c r="A4" s="139" t="s">
        <v>56</v>
      </c>
      <c r="B4" s="140"/>
      <c r="C4" s="140"/>
      <c r="D4" s="518" t="str">
        <f>IF(ISERROR('★個人成績表★'!AE12),"",'★個人成績表★'!AJ12)</f>
        <v>村上 泰辰(ORC)　8勝2敗</v>
      </c>
      <c r="E4" s="519"/>
      <c r="F4" s="519"/>
      <c r="G4" s="519"/>
      <c r="H4" s="520"/>
      <c r="I4" s="376" t="s">
        <v>120</v>
      </c>
      <c r="J4" s="518" t="str">
        <f>IF(ISERROR('★個人成績表★'!$AD$12),"",VLOOKUP(3,'★個人成績表★'!$AC$15:$AJ$20,8,FALSE))</f>
        <v>山中 康寛(SBC)　8勝2敗</v>
      </c>
      <c r="K4" s="519"/>
      <c r="L4" s="519"/>
      <c r="M4" s="519"/>
      <c r="N4" s="520"/>
      <c r="O4" s="377" t="s">
        <v>120</v>
      </c>
      <c r="P4" s="518" t="str">
        <f>IF(ISERROR('★個人成績表★'!$AD$12),"",VLOOKUP(5,'★個人成績表★'!$AC$15:$AJ$20,8,FALSE))</f>
        <v>杉本 博章(WRC)　7勝3敗</v>
      </c>
      <c r="Q4" s="519"/>
      <c r="R4" s="519"/>
      <c r="S4" s="520"/>
    </row>
    <row r="5" spans="1:19" ht="28.5" customHeight="1" thickBot="1">
      <c r="A5" s="139" t="s">
        <v>55</v>
      </c>
      <c r="B5" s="140"/>
      <c r="C5" s="140"/>
      <c r="D5" s="518" t="str">
        <f>IF(ISERROR('★個人成績表★'!$AD$12),"",VLOOKUP(2,'★個人成績表★'!$AC$15:$AJ$20,8,FALSE))</f>
        <v>今村 哲也(KRC)　8勝2敗</v>
      </c>
      <c r="E5" s="519"/>
      <c r="F5" s="519"/>
      <c r="G5" s="519"/>
      <c r="H5" s="520"/>
      <c r="I5" s="378" t="s">
        <v>120</v>
      </c>
      <c r="J5" s="518" t="str">
        <f>IF(ISERROR('★個人成績表★'!$AD$12),"",VLOOKUP(4,'★個人成績表★'!$AC$15:$AJ$20,8,FALSE))</f>
        <v>白戸 玲人(NRC)　7勝3敗</v>
      </c>
      <c r="K5" s="519"/>
      <c r="L5" s="519"/>
      <c r="M5" s="519"/>
      <c r="N5" s="520"/>
      <c r="O5" s="379" t="s">
        <v>120</v>
      </c>
      <c r="P5" s="518" t="str">
        <f>IF(ISERROR(VLOOKUP(6,'★個人成績表★'!$AC$15:$AJ$20,8,FALSE)),"",VLOOKUP(6,'★個人成績表★'!$AC$15:$AJ$20,8,FALSE))</f>
        <v>堂園 雅也(HRC)　6勝4敗</v>
      </c>
      <c r="Q5" s="519"/>
      <c r="R5" s="519"/>
      <c r="S5" s="520"/>
    </row>
    <row r="6" spans="1:19" ht="28.5" customHeight="1" thickBot="1">
      <c r="A6" s="139" t="s">
        <v>54</v>
      </c>
      <c r="B6" s="140"/>
      <c r="C6" s="140"/>
      <c r="D6" s="499" t="s">
        <v>184</v>
      </c>
      <c r="E6" s="500"/>
      <c r="F6" s="500"/>
      <c r="G6" s="500"/>
      <c r="H6" s="500"/>
      <c r="I6" s="500"/>
      <c r="J6" s="500"/>
      <c r="K6" s="500"/>
      <c r="L6" s="500"/>
      <c r="M6" s="500"/>
      <c r="N6" s="501"/>
      <c r="O6" s="338"/>
      <c r="P6" s="339"/>
      <c r="Q6" s="339"/>
      <c r="R6" s="339"/>
      <c r="S6" s="339"/>
    </row>
    <row r="7" ht="14.25" thickBot="1"/>
    <row r="8" spans="1:19" ht="27" customHeight="1">
      <c r="A8" s="16"/>
      <c r="B8" s="14"/>
      <c r="C8" s="127"/>
      <c r="D8" s="110" t="str">
        <f>A10</f>
        <v>KRC</v>
      </c>
      <c r="E8" s="105"/>
      <c r="F8" s="115" t="str">
        <f>A12</f>
        <v>HRC</v>
      </c>
      <c r="G8" s="116"/>
      <c r="H8" s="115" t="str">
        <f>A14</f>
        <v>ORC</v>
      </c>
      <c r="I8" s="116"/>
      <c r="J8" s="115" t="str">
        <f>A16</f>
        <v>NRC</v>
      </c>
      <c r="K8" s="116"/>
      <c r="L8" s="115" t="str">
        <f>A18</f>
        <v>SBC</v>
      </c>
      <c r="M8" s="116"/>
      <c r="N8" s="167" t="str">
        <f>A20</f>
        <v>WRC</v>
      </c>
      <c r="O8" s="168"/>
      <c r="P8" s="521" t="s">
        <v>0</v>
      </c>
      <c r="Q8" s="523" t="s">
        <v>51</v>
      </c>
      <c r="R8" s="525" t="s">
        <v>52</v>
      </c>
      <c r="S8" s="527" t="s">
        <v>53</v>
      </c>
    </row>
    <row r="9" spans="1:23" ht="27" customHeight="1" thickBot="1">
      <c r="A9" s="17"/>
      <c r="B9" s="15"/>
      <c r="C9" s="128"/>
      <c r="D9" s="111" t="s">
        <v>0</v>
      </c>
      <c r="E9" s="106" t="s">
        <v>51</v>
      </c>
      <c r="F9" s="117" t="s">
        <v>0</v>
      </c>
      <c r="G9" s="118" t="s">
        <v>51</v>
      </c>
      <c r="H9" s="117" t="s">
        <v>0</v>
      </c>
      <c r="I9" s="118" t="s">
        <v>51</v>
      </c>
      <c r="J9" s="117" t="s">
        <v>0</v>
      </c>
      <c r="K9" s="118" t="s">
        <v>51</v>
      </c>
      <c r="L9" s="117" t="s">
        <v>0</v>
      </c>
      <c r="M9" s="118" t="s">
        <v>51</v>
      </c>
      <c r="N9" s="117" t="s">
        <v>0</v>
      </c>
      <c r="O9" s="92" t="s">
        <v>51</v>
      </c>
      <c r="P9" s="522"/>
      <c r="Q9" s="524"/>
      <c r="R9" s="526"/>
      <c r="S9" s="528"/>
      <c r="W9" s="371"/>
    </row>
    <row r="10" spans="1:19" ht="27" customHeight="1" thickTop="1">
      <c r="A10" s="90" t="str">
        <f>IF('登録'!B17="","",'登録'!B17)</f>
        <v>KRC</v>
      </c>
      <c r="B10" s="91"/>
      <c r="C10" s="129"/>
      <c r="D10" s="506"/>
      <c r="E10" s="507"/>
      <c r="F10" s="119">
        <f>IF(COUNTBLANK('★個人成績表★'!H5:H11)=7,"",COUNTIF('★個人成績表★'!H5:H11,"w"))</f>
        <v>5</v>
      </c>
      <c r="G10" s="120">
        <f>IF(COUNTBLANK('★個人成績表★'!H5:H11)=7,"",7-COUNTBLANK('★個人成績表★'!H5:H11)-COUNTIF('★個人成績表★'!H5:H11,"w"))</f>
        <v>2</v>
      </c>
      <c r="H10" s="119">
        <f>IF(COUNTBLANK('★個人成績表★'!G5:G11)=7,"",COUNTIF('★個人成績表★'!G5:G11,"w"))</f>
        <v>3</v>
      </c>
      <c r="I10" s="120">
        <f>IF(COUNTBLANK('★個人成績表★'!G5:G11)=7,"",7-COUNTBLANK('★個人成績表★'!G5:G11)-COUNTIF('★個人成績表★'!G5:G11,"w"))</f>
        <v>4</v>
      </c>
      <c r="J10" s="119">
        <f>IF(COUNTBLANK('★個人成績表★'!F5:F11)=7,"",COUNTIF('★個人成績表★'!F5:F11,"w"))</f>
        <v>4</v>
      </c>
      <c r="K10" s="120">
        <f>IF(COUNTBLANK('★個人成績表★'!F5:F11)=7,"",7-COUNTBLANK('★個人成績表★'!F5:F11)-COUNTIF('★個人成績表★'!F5:F11,"w"))</f>
        <v>3</v>
      </c>
      <c r="L10" s="119">
        <f>IF(COUNTBLANK('★個人成績表★'!E5:E11)=7,"",COUNTIF('★個人成績表★'!E5:E11,"w"))</f>
        <v>4</v>
      </c>
      <c r="M10" s="120">
        <f>IF(COUNTBLANK('★個人成績表★'!E5:E11)=7,"",7-COUNTBLANK('★個人成績表★'!E5:E11)-COUNTIF('★個人成績表★'!E5:E11,"w"))</f>
        <v>3</v>
      </c>
      <c r="N10" s="119">
        <f>IF(COUNTBLANK('★個人成績表★'!D5:D11)=7,"",COUNTIF('★個人成績表★'!D5:D11,"w"))</f>
        <v>5</v>
      </c>
      <c r="O10" s="101">
        <f>IF(COUNTBLANK('★個人成績表★'!D5:D11)=7,"",7-COUNTBLANK('★個人成績表★'!D5:D11)-COUNTIF('★個人成績表★'!D5:D11,"w"))</f>
        <v>2</v>
      </c>
      <c r="P10" s="536">
        <f>IF(COUNTBLANK($D10:$O11)=24,"",SUM(D10,F10,H10,J10,L10,N10,D11,F11,H11,J11,L11,N11))</f>
        <v>46</v>
      </c>
      <c r="Q10" s="537">
        <f>IF(COUNTBLANK($D10:$O11)=24,"",SUM(E10,G10,I10,K10,M10,O10,E11,G11,I11,K11,M11,O11))</f>
        <v>24</v>
      </c>
      <c r="R10" s="466" t="str">
        <f>IF(ISERROR('★個人成績表★'!P12),"","("&amp;'★個人成績表★'!P12&amp;")")</f>
        <v>(6397)</v>
      </c>
      <c r="S10" s="535">
        <f>IF(ISERROR(W11),"",RANK(W11,$W$10:$W$21))</f>
        <v>2</v>
      </c>
    </row>
    <row r="11" spans="1:23" ht="27" customHeight="1">
      <c r="A11" s="95"/>
      <c r="B11" s="96"/>
      <c r="C11" s="130"/>
      <c r="D11" s="508"/>
      <c r="E11" s="509"/>
      <c r="F11" s="121">
        <f>IF(COUNTBLANK('★個人成績表★'!M5:M11)=7,"",COUNTIF('★個人成績表★'!M5:M11,"w"))</f>
        <v>6</v>
      </c>
      <c r="G11" s="122">
        <f>IF(COUNTBLANK('★個人成績表★'!M5:M11)=7,"",7-COUNTBLANK('★個人成績表★'!M5:M11)-COUNTIF('★個人成績表★'!M5:M11,"w"))</f>
        <v>1</v>
      </c>
      <c r="H11" s="121">
        <f>IF(COUNTBLANK('★個人成績表★'!L5:L11)=7,"",COUNTIF('★個人成績表★'!L5:L11,"w"))</f>
        <v>4</v>
      </c>
      <c r="I11" s="122">
        <f>IF(COUNTBLANK('★個人成績表★'!L5:L11)=7,"",7-COUNTBLANK('★個人成績表★'!L5:L11)-COUNTIF('★個人成績表★'!L5:L11,"w"))</f>
        <v>3</v>
      </c>
      <c r="J11" s="121">
        <f>IF(COUNTBLANK('★個人成績表★'!K5:K11)=7,"",COUNTIF('★個人成績表★'!K5:K11,"w"))</f>
        <v>5</v>
      </c>
      <c r="K11" s="122">
        <f>IF(COUNTBLANK('★個人成績表★'!K5:K11)=7,"",7-COUNTBLANK('★個人成績表★'!K5:K11)-COUNTIF('★個人成績表★'!K5:K11,"w"))</f>
        <v>2</v>
      </c>
      <c r="L11" s="121">
        <f>IF(COUNTBLANK('★個人成績表★'!J5:J11)=7,"",COUNTIF('★個人成績表★'!J5:J11,"w"))</f>
        <v>4</v>
      </c>
      <c r="M11" s="122">
        <f>IF(COUNTBLANK('★個人成績表★'!J5:J11)=7,"",7-COUNTBLANK('★個人成績表★'!J5:J11)-COUNTIF('★個人成績表★'!J5:J11,"w"))</f>
        <v>3</v>
      </c>
      <c r="N11" s="121">
        <f>IF(COUNTBLANK('★個人成績表★'!I5:I11)=7,"",COUNTIF('★個人成績表★'!I5:I11,"w"))</f>
        <v>6</v>
      </c>
      <c r="O11" s="102">
        <f>IF(COUNTBLANK('★個人成績表★'!I5:I11)=7,"",7-COUNTBLANK('★個人成績表★'!I5:I11)-COUNTIF('★個人成績表★'!I5:I11,"w"))</f>
        <v>1</v>
      </c>
      <c r="P11" s="534"/>
      <c r="Q11" s="532"/>
      <c r="R11" s="463">
        <f>IF('★個人成績表★'!S12=R10,"",'★個人成績表★'!S12)</f>
        <v>6560.2</v>
      </c>
      <c r="S11" s="530"/>
      <c r="W11" s="371">
        <f>P10*100000+'★個人成績表★'!Q12</f>
        <v>4606560.2</v>
      </c>
    </row>
    <row r="12" spans="1:19" ht="27" customHeight="1">
      <c r="A12" s="93" t="str">
        <f>IF('登録'!B18="","",'登録'!B18)</f>
        <v>HRC</v>
      </c>
      <c r="B12" s="94"/>
      <c r="C12" s="131"/>
      <c r="D12" s="113">
        <f>IF(COUNTBLANK('★個人成績表★'!H14:H20)=7,"",COUNTIF('★個人成績表★'!H14:H20,"w"))</f>
        <v>2</v>
      </c>
      <c r="E12" s="107">
        <f>IF(COUNTBLANK('★個人成績表★'!H14:H20)=7,"",7-COUNTBLANK('★個人成績表★'!H14:H20)-COUNTIF('★個人成績表★'!H14:H20,"w"))</f>
        <v>5</v>
      </c>
      <c r="F12" s="510"/>
      <c r="G12" s="511"/>
      <c r="H12" s="125">
        <f>IF(COUNTBLANK('★個人成績表★'!E14:E20)=7,"",COUNTIF('★個人成績表★'!E14:E20,"w"))</f>
        <v>0</v>
      </c>
      <c r="I12" s="126">
        <f>IF(COUNTBLANK('★個人成績表★'!E14:E20)=7,"",7-COUNTBLANK('★個人成績表★'!E14:E20)-COUNTIF('★個人成績表★'!E14:E20,"w"))</f>
        <v>7</v>
      </c>
      <c r="J12" s="125">
        <f>IF(COUNTBLANK('★個人成績表★'!G14:G20)=7,"",COUNTIF('★個人成績表★'!G14:G20,"w"))</f>
        <v>2</v>
      </c>
      <c r="K12" s="126">
        <f>IF(COUNTBLANK('★個人成績表★'!G14:G20)=7,"",7-COUNTBLANK('★個人成績表★'!G14:G20)-COUNTIF('★個人成績表★'!G14:G20,"w"))</f>
        <v>5</v>
      </c>
      <c r="L12" s="125">
        <f>IF(COUNTBLANK('★個人成績表★'!D14:D20)=7,"",COUNTIF('★個人成績表★'!D14:D20,"w"))</f>
        <v>4</v>
      </c>
      <c r="M12" s="126">
        <f>IF(COUNTBLANK('★個人成績表★'!D14:D20)=7,"",7-COUNTBLANK('★個人成績表★'!D14:D20)-COUNTIF('★個人成績表★'!D14:D20,"w"))</f>
        <v>3</v>
      </c>
      <c r="N12" s="125">
        <f>IF(COUNTBLANK('★個人成績表★'!F14:F20)=7,"",COUNTIF('★個人成績表★'!F14:F20,"w"))</f>
        <v>3</v>
      </c>
      <c r="O12" s="103">
        <f>IF(COUNTBLANK('★個人成績表★'!F14:F20)=7,"",7-COUNTBLANK('★個人成績表★'!F14:F20)-COUNTIF('★個人成績表★'!F14:F20,"w"))</f>
        <v>4</v>
      </c>
      <c r="P12" s="533">
        <f>IF(COUNTBLANK($D12:$O13)=24,"",SUM(D12,F12,H12,J12,L12,N12,D13,F13,H13,J13,L13,N13))</f>
        <v>24</v>
      </c>
      <c r="Q12" s="531">
        <f>IF(COUNTBLANK($D12:$O13)=24,"",SUM(E12,G12,I12,K12,M12,O12,E13,G13,I13,K13,M13,O13))</f>
        <v>46</v>
      </c>
      <c r="R12" s="467" t="str">
        <f>IF(ISERROR('★個人成績表★'!P21),"","("&amp;'★個人成績表★'!P21&amp;")")</f>
        <v>(5035)</v>
      </c>
      <c r="S12" s="529">
        <f>IF(ISERROR(W13),"",RANK(W13,$W$10:$W$21))</f>
        <v>6</v>
      </c>
    </row>
    <row r="13" spans="1:23" ht="27" customHeight="1">
      <c r="A13" s="93"/>
      <c r="B13" s="94"/>
      <c r="C13" s="131"/>
      <c r="D13" s="112">
        <f>IF(COUNTBLANK('★個人成績表★'!M14:M20)=7,"",COUNTIF('★個人成績表★'!M14:M20,"w"))</f>
        <v>1</v>
      </c>
      <c r="E13" s="108">
        <f>IF(COUNTBLANK('★個人成績表★'!M14:M20)=7,"",7-COUNTBLANK('★個人成績表★'!M14:M20)-COUNTIF('★個人成績表★'!M14:M20,"w"))</f>
        <v>6</v>
      </c>
      <c r="F13" s="512"/>
      <c r="G13" s="513"/>
      <c r="H13" s="121">
        <f>IF(COUNTBLANK('★個人成績表★'!J14:J20)=7,"",COUNTIF('★個人成績表★'!J14:J20,"w"))</f>
        <v>2</v>
      </c>
      <c r="I13" s="122">
        <f>IF(COUNTBLANK('★個人成績表★'!J14:J20)=7,"",7-COUNTBLANK('★個人成績表★'!J14:J20)-COUNTIF('★個人成績表★'!J14:J20,"w"))</f>
        <v>5</v>
      </c>
      <c r="J13" s="121">
        <f>IF(COUNTBLANK('★個人成績表★'!L14:L20)=7,"",COUNTIF('★個人成績表★'!L14:L20,"w"))</f>
        <v>3</v>
      </c>
      <c r="K13" s="122">
        <f>IF(COUNTBLANK('★個人成績表★'!L14:L20)=7,"",7-COUNTBLANK('★個人成績表★'!L14:L20)-COUNTIF('★個人成績表★'!L14:L20,"w"))</f>
        <v>4</v>
      </c>
      <c r="L13" s="121">
        <f>IF(COUNTBLANK('★個人成績表★'!I14:I20)=7,"",COUNTIF('★個人成績表★'!I14:I20,"w"))</f>
        <v>4</v>
      </c>
      <c r="M13" s="122">
        <f>IF(COUNTBLANK('★個人成績表★'!I14:I20)=7,"",7-COUNTBLANK('★個人成績表★'!I14:I20)-COUNTIF('★個人成績表★'!I14:I20,"w"))</f>
        <v>3</v>
      </c>
      <c r="N13" s="121">
        <f>IF(COUNTBLANK('★個人成績表★'!K14:K20)=7,"",COUNTIF('★個人成績表★'!K14:K20,"w"))</f>
        <v>3</v>
      </c>
      <c r="O13" s="102">
        <f>IF(COUNTBLANK('★個人成績表★'!K14:K20)=7,"",7-COUNTBLANK('★個人成績表★'!K14:K20)-COUNTIF('★個人成績表★'!K14:K20,"w"))</f>
        <v>4</v>
      </c>
      <c r="P13" s="534"/>
      <c r="Q13" s="532"/>
      <c r="R13" s="463">
        <f>IF('★個人成績表★'!S21=R19,"",'★個人成績表★'!S21)</f>
        <v>5145.6</v>
      </c>
      <c r="S13" s="530"/>
      <c r="W13" s="371">
        <f>P12*100000+'★個人成績表★'!Q21</f>
        <v>2405145.6</v>
      </c>
    </row>
    <row r="14" spans="1:19" ht="27" customHeight="1">
      <c r="A14" s="97" t="str">
        <f>IF('登録'!B19="","",'登録'!B19)</f>
        <v>ORC</v>
      </c>
      <c r="B14" s="98"/>
      <c r="C14" s="132"/>
      <c r="D14" s="114">
        <f>IF(COUNTBLANK('★個人成績表★'!G23:G29)=7,"",COUNTIF('★個人成績表★'!G23:G29,"w"))</f>
        <v>4</v>
      </c>
      <c r="E14" s="109">
        <f>IF(COUNTBLANK('★個人成績表★'!G23:G29)=7,"",7-COUNTBLANK('★個人成績表★'!G23:G29)-COUNTIF('★個人成績表★'!G23:G29,"w"))</f>
        <v>3</v>
      </c>
      <c r="F14" s="123">
        <f>IF(COUNTBLANK('★個人成績表★'!E23:E29)=7,"",COUNTIF('★個人成績表★'!E23:E29,"w"))</f>
        <v>7</v>
      </c>
      <c r="G14" s="124">
        <f>IF(COUNTBLANK('★個人成績表★'!E23:E29)=7,"",7-COUNTBLANK('★個人成績表★'!E23:E29)-COUNTIF('★個人成績表★'!E23:E29,"w"))</f>
        <v>0</v>
      </c>
      <c r="H14" s="510"/>
      <c r="I14" s="511"/>
      <c r="J14" s="123">
        <f>IF(COUNTBLANK('★個人成績表★'!D23:D29)=7,"",COUNTIF('★個人成績表★'!D23:D29,"w"))</f>
        <v>6</v>
      </c>
      <c r="K14" s="124">
        <f>IF(COUNTBLANK('★個人成績表★'!D23:D29)=7,"",7-COUNTBLANK('★個人成績表★'!D23:D29)-COUNTIF('★個人成績表★'!D23:D29,"w"))</f>
        <v>1</v>
      </c>
      <c r="L14" s="123">
        <f>IF(COUNTBLANK('★個人成績表★'!F23:F29)=7,"",COUNTIF('★個人成績表★'!F23:F29,"w"))</f>
        <v>4</v>
      </c>
      <c r="M14" s="124">
        <f>IF(COUNTBLANK('★個人成績表★'!F23:F29)=7,"",7-COUNTBLANK('★個人成績表★'!F23:F29)-COUNTIF('★個人成績表★'!F23:F29,"w"))</f>
        <v>3</v>
      </c>
      <c r="N14" s="123">
        <f>IF(COUNTBLANK('★個人成績表★'!H23:H29)=7,"",COUNTIF('★個人成績表★'!H23:H29,"w"))</f>
        <v>6</v>
      </c>
      <c r="O14" s="104">
        <f>IF(COUNTBLANK('★個人成績表★'!H23:H29)=7,"",7-COUNTBLANK('★個人成績表★'!H23:H29)-COUNTIF('★個人成績表★'!H23:H29,"w"))</f>
        <v>1</v>
      </c>
      <c r="P14" s="533">
        <f>IF(COUNTBLANK($D14:$O15)=24,"",SUM(D14,F14,H14,J14,L14,N14,D15,F15,H15,J15,L15,N15))</f>
        <v>47</v>
      </c>
      <c r="Q14" s="531">
        <f>IF(COUNTBLANK($D14:$O15)=24,"",SUM(E14,G14,I14,K14,M14,O14,E15,G15,I15,K15,M15,O15))</f>
        <v>23</v>
      </c>
      <c r="R14" s="468" t="str">
        <f>IF(ISERROR('★個人成績表★'!P30),"","("&amp;'★個人成績表★'!P30&amp;")")</f>
        <v>(6519)</v>
      </c>
      <c r="S14" s="529">
        <f>IF(ISERROR(W15),"",RANK(W15,$W$10:$W$21))</f>
        <v>1</v>
      </c>
    </row>
    <row r="15" spans="1:23" ht="27" customHeight="1">
      <c r="A15" s="95"/>
      <c r="B15" s="96"/>
      <c r="C15" s="130"/>
      <c r="D15" s="112">
        <f>IF(COUNTBLANK('★個人成績表★'!L23:L29)=7,"",COUNTIF('★個人成績表★'!L23:L29,"w"))</f>
        <v>3</v>
      </c>
      <c r="E15" s="108">
        <f>IF(COUNTBLANK('★個人成績表★'!L23:L29)=7,"",7-COUNTBLANK('★個人成績表★'!L23:L29)-COUNTIF('★個人成績表★'!L23:L29,"w"))</f>
        <v>4</v>
      </c>
      <c r="F15" s="121">
        <f>IF(COUNTBLANK('★個人成績表★'!J23:J29)=7,"",COUNTIF('★個人成績表★'!J23:J29,"w"))</f>
        <v>5</v>
      </c>
      <c r="G15" s="122">
        <f>IF(COUNTBLANK('★個人成績表★'!J23:J29)=7,"",7-COUNTBLANK('★個人成績表★'!J23:J29)-COUNTIF('★個人成績表★'!J23:J29,"w"))</f>
        <v>2</v>
      </c>
      <c r="H15" s="512"/>
      <c r="I15" s="513"/>
      <c r="J15" s="121">
        <f>IF(COUNTBLANK('★個人成績表★'!I23:I29)=7,"",COUNTIF('★個人成績表★'!I23:I29,"w"))</f>
        <v>6</v>
      </c>
      <c r="K15" s="122">
        <f>IF(COUNTBLANK('★個人成績表★'!I23:I29)=7,"",7-COUNTBLANK('★個人成績表★'!I23:I29)-COUNTIF('★個人成績表★'!I23:I29,"w"))</f>
        <v>1</v>
      </c>
      <c r="L15" s="121">
        <f>IF(COUNTBLANK('★個人成績表★'!K23:K29)=7,"",COUNTIF('★個人成績表★'!K23:K29,"w"))</f>
        <v>3</v>
      </c>
      <c r="M15" s="122">
        <f>IF(COUNTBLANK('★個人成績表★'!K23:K29)=7,"",7-COUNTBLANK('★個人成績表★'!K23:K29)-COUNTIF('★個人成績表★'!K23:K29,"w"))</f>
        <v>4</v>
      </c>
      <c r="N15" s="121">
        <f>IF(COUNTBLANK('★個人成績表★'!M23:M29)=7,"",COUNTIF('★個人成績表★'!M23:M29,"w"))</f>
        <v>3</v>
      </c>
      <c r="O15" s="102">
        <f>IF(COUNTBLANK('★個人成績表★'!M23:M29)=7,"",7-COUNTBLANK('★個人成績表★'!M23:M29)-COUNTIF('★個人成績表★'!M23:M29,"w"))</f>
        <v>4</v>
      </c>
      <c r="P15" s="534"/>
      <c r="Q15" s="532"/>
      <c r="R15" s="463">
        <f>IF('★個人成績表★'!S30=R28,"",'★個人成績表★'!S30)</f>
        <v>6666</v>
      </c>
      <c r="S15" s="530"/>
      <c r="W15" s="371">
        <f>P14*100000+'★個人成績表★'!Q30</f>
        <v>4706666</v>
      </c>
    </row>
    <row r="16" spans="1:19" ht="27" customHeight="1">
      <c r="A16" s="97" t="str">
        <f>IF('登録'!B20="","",'登録'!B20)</f>
        <v>NRC</v>
      </c>
      <c r="B16" s="98"/>
      <c r="C16" s="132"/>
      <c r="D16" s="114">
        <f>IF(COUNTBLANK('★個人成績表★'!F32:F38)=7,"",COUNTIF('★個人成績表★'!F32:F38,"w"))</f>
        <v>3</v>
      </c>
      <c r="E16" s="109">
        <f>IF(COUNTBLANK('★個人成績表★'!F32:F38)=7,"",7-COUNTBLANK('★個人成績表★'!F32:F38)-COUNTIF('★個人成績表★'!F32:F38,"w"))</f>
        <v>4</v>
      </c>
      <c r="F16" s="123">
        <f>IF(COUNTBLANK('★個人成績表★'!G32:G38)=7,"",COUNTIF('★個人成績表★'!G32:G38,"w"))</f>
        <v>5</v>
      </c>
      <c r="G16" s="124">
        <f>IF(COUNTBLANK('★個人成績表★'!G32:G38)=7,"",7-COUNTBLANK('★個人成績表★'!G32:G38)-COUNTIF('★個人成績表★'!G32:G38,"w"))</f>
        <v>2</v>
      </c>
      <c r="H16" s="123">
        <f>IF(COUNTBLANK('★個人成績表★'!D32:D38)=7,"",COUNTIF('★個人成績表★'!D32:D38,"w"))</f>
        <v>1</v>
      </c>
      <c r="I16" s="124">
        <f>IF(COUNTBLANK('★個人成績表★'!D32:D38)=7,"",7-COUNTBLANK('★個人成績表★'!D32:D38)-COUNTIF('★個人成績表★'!D32:D38,"w"))</f>
        <v>6</v>
      </c>
      <c r="J16" s="510"/>
      <c r="K16" s="511"/>
      <c r="L16" s="123">
        <f>IF(COUNTBLANK('★個人成績表★'!H32:H38)=7,"",COUNTIF('★個人成績表★'!H32:H38,"w"))</f>
        <v>4</v>
      </c>
      <c r="M16" s="124">
        <f>IF(COUNTBLANK('★個人成績表★'!H32:H38)=7,"",7-COUNTBLANK('★個人成績表★'!H32:H38)-COUNTIF('★個人成績表★'!H32:H38,"w"))</f>
        <v>3</v>
      </c>
      <c r="N16" s="123">
        <f>IF(COUNTBLANK('★個人成績表★'!E32:E38)=7,"",COUNTIF('★個人成績表★'!E32:E38,"w"))</f>
        <v>3</v>
      </c>
      <c r="O16" s="104">
        <f>IF(COUNTBLANK('★個人成績表★'!E32:E38)=7,"",7-COUNTBLANK('★個人成績表★'!E32:E38)-COUNTIF('★個人成績表★'!E32:E38,"w"))</f>
        <v>4</v>
      </c>
      <c r="P16" s="533">
        <f>IF(COUNTBLANK($D16:$O17)=24,"",SUM(D16,F16,H16,J16,L16,N16,D17,F17,H17,J17,L17,N17))</f>
        <v>30</v>
      </c>
      <c r="Q16" s="531">
        <f>IF(COUNTBLANK($D16:$O17)=24,"",SUM(E16,G16,I16,K16,M16,O16,E17,G17,I17,K17,M17,O17))</f>
        <v>40</v>
      </c>
      <c r="R16" s="468" t="str">
        <f>IF(ISERROR('★個人成績表★'!P39),"","("&amp;'★個人成績表★'!P39&amp;")")</f>
        <v>(5513)</v>
      </c>
      <c r="S16" s="529">
        <f>IF(ISERROR(W17),"",RANK(W17,$W$10:$W$21))</f>
        <v>5</v>
      </c>
    </row>
    <row r="17" spans="1:23" ht="27" customHeight="1">
      <c r="A17" s="95"/>
      <c r="B17" s="96"/>
      <c r="C17" s="130"/>
      <c r="D17" s="112">
        <f>IF(COUNTBLANK('★個人成績表★'!K32:K38)=7,"",COUNTIF('★個人成績表★'!K32:K38,"w"))</f>
        <v>2</v>
      </c>
      <c r="E17" s="108">
        <f>IF(COUNTBLANK('★個人成績表★'!K32:K38)=7,"",7-COUNTBLANK('★個人成績表★'!K32:K38)-COUNTIF('★個人成績表★'!K32:K38,"w"))</f>
        <v>5</v>
      </c>
      <c r="F17" s="121">
        <f>IF(COUNTBLANK('★個人成績表★'!L32:L38)=7,"",COUNTIF('★個人成績表★'!L32:L38,"w"))</f>
        <v>4</v>
      </c>
      <c r="G17" s="122">
        <f>IF(COUNTBLANK('★個人成績表★'!L32:L38)=7,"",7-COUNTBLANK('★個人成績表★'!L32:L38)-COUNTIF('★個人成績表★'!L32:L38,"w"))</f>
        <v>3</v>
      </c>
      <c r="H17" s="121">
        <f>IF(COUNTBLANK('★個人成績表★'!I32:I38)=7,"",COUNTIF('★個人成績表★'!I32:I38,"w"))</f>
        <v>1</v>
      </c>
      <c r="I17" s="122">
        <f>IF(COUNTBLANK('★個人成績表★'!I32:I38)=7,"",7-COUNTBLANK('★個人成績表★'!I32:I38)-COUNTIF('★個人成績表★'!I32:I38,"w"))</f>
        <v>6</v>
      </c>
      <c r="J17" s="512"/>
      <c r="K17" s="513"/>
      <c r="L17" s="121">
        <f>IF(COUNTBLANK('★個人成績表★'!M32:M38)=7,"",COUNTIF('★個人成績表★'!M32:M38,"w"))</f>
        <v>4</v>
      </c>
      <c r="M17" s="122">
        <f>IF(COUNTBLANK('★個人成績表★'!M32:M38)=7,"",7-COUNTBLANK('★個人成績表★'!M32:M38)-COUNTIF('★個人成績表★'!M32:M38,"w"))</f>
        <v>3</v>
      </c>
      <c r="N17" s="121">
        <f>IF(COUNTBLANK('★個人成績表★'!J32:J38)=7,"",COUNTIF('★個人成績表★'!J32:J38,"w"))</f>
        <v>3</v>
      </c>
      <c r="O17" s="102">
        <f>IF(COUNTBLANK('★個人成績表★'!J32:J38)=7,"",7-COUNTBLANK('★個人成績表★'!J32:J38)-COUNTIF('★個人成績表★'!J32:J38,"w"))</f>
        <v>4</v>
      </c>
      <c r="P17" s="534"/>
      <c r="Q17" s="532"/>
      <c r="R17" s="463">
        <f>IF('★個人成績表★'!S39=R37,"",'★個人成績表★'!S39)</f>
        <v>5613.8</v>
      </c>
      <c r="S17" s="530"/>
      <c r="W17" s="371">
        <f>P16*100000+'★個人成績表★'!Q39</f>
        <v>3005613.8</v>
      </c>
    </row>
    <row r="18" spans="1:19" ht="27" customHeight="1">
      <c r="A18" s="93" t="str">
        <f>IF('登録'!B21="","",'登録'!B21)</f>
        <v>SBC</v>
      </c>
      <c r="B18" s="94"/>
      <c r="C18" s="131"/>
      <c r="D18" s="163">
        <f>IF(COUNTBLANK('★個人成績表★'!E41:E47)=7,"",COUNTIF('★個人成績表★'!E41:E47,"w"))</f>
        <v>3</v>
      </c>
      <c r="E18" s="164">
        <f>IF(COUNTBLANK('★個人成績表★'!E41:E47)=7,"",7-COUNTBLANK('★個人成績表★'!E41:E47)-COUNTIF('★個人成績表★'!E41:E47,"w"))</f>
        <v>4</v>
      </c>
      <c r="F18" s="165">
        <f>IF(COUNTBLANK('★個人成績表★'!D41:D47)=7,"",COUNTIF('★個人成績表★'!D41:D47,"w"))</f>
        <v>3</v>
      </c>
      <c r="G18" s="166">
        <f>IF(COUNTBLANK('★個人成績表★'!D41:D47)=7,"",7-COUNTBLANK('★個人成績表★'!D41:D47)-COUNTIF('★個人成績表★'!D41:D47,"w"))</f>
        <v>4</v>
      </c>
      <c r="H18" s="165">
        <f>IF(COUNTBLANK('★個人成績表★'!F41:F47)=7,"",COUNTIF('★個人成績表★'!F41:F47,"w"))</f>
        <v>3</v>
      </c>
      <c r="I18" s="166">
        <f>IF(COUNTBLANK('★個人成績表★'!F41:F47)=7,"",7-COUNTBLANK('★個人成績表★'!F41:F47)-COUNTIF('★個人成績表★'!F41:F47,"w"))</f>
        <v>4</v>
      </c>
      <c r="J18" s="165">
        <f>IF(COUNTBLANK('★個人成績表★'!H41:H47)=7,"",COUNTIF('★個人成績表★'!H41:H47,"w"))</f>
        <v>3</v>
      </c>
      <c r="K18" s="166">
        <f>IF(COUNTBLANK('★個人成績表★'!H41:H47)=7,"",7-COUNTBLANK('★個人成績表★'!H41:H47)-COUNTIF('★個人成績表★'!H41:H47,"w"))</f>
        <v>4</v>
      </c>
      <c r="L18" s="510"/>
      <c r="M18" s="514"/>
      <c r="N18" s="165">
        <f>IF(COUNTBLANK('★個人成績表★'!G41:G47)=7,"",COUNTIF('★個人成績表★'!G41:G47,"w"))</f>
        <v>2</v>
      </c>
      <c r="O18" s="370">
        <f>IF(COUNTBLANK('★個人成績表★'!G41:G47)=7,"",7-COUNTBLANK('★個人成績表★'!G41:G47)-COUNTIF('★個人成績表★'!G41:G47,"w"))</f>
        <v>5</v>
      </c>
      <c r="P18" s="533">
        <f>IF(COUNTBLANK($D18:$O19)=24,"",SUM(D18,F18,H18,J18,L18,N18,D19,F19,H19,J19,L19,N19))</f>
        <v>32</v>
      </c>
      <c r="Q18" s="531">
        <f>IF(COUNTBLANK($D18:$O19)=24,"",SUM(E18,G18,I18,K18,M18,O18,E19,G19,I19,K19,M19,O19))</f>
        <v>38</v>
      </c>
      <c r="R18" s="468" t="str">
        <f>IF(ISERROR('★個人成績表★'!P48),"","("&amp;'★個人成績表★'!P48&amp;")")</f>
        <v>(5469)</v>
      </c>
      <c r="S18" s="529">
        <f>IF(ISERROR(W19),"",RANK(W19,$W$10:$W$21))</f>
        <v>3</v>
      </c>
    </row>
    <row r="19" spans="1:23" ht="27" customHeight="1">
      <c r="A19" s="93"/>
      <c r="B19" s="94"/>
      <c r="C19" s="131"/>
      <c r="D19" s="163">
        <f>IF(COUNTBLANK('★個人成績表★'!J41:J47)=7,"",COUNTIF('★個人成績表★'!J41:J47,"w"))</f>
        <v>3</v>
      </c>
      <c r="E19" s="164">
        <f>IF(COUNTBLANK('★個人成績表★'!J41:J47)=7,"",7-COUNTBLANK('★個人成績表★'!J41:J47)-COUNTIF('★個人成績表★'!J41:J47,"w"))</f>
        <v>4</v>
      </c>
      <c r="F19" s="165">
        <f>IF(COUNTBLANK('★個人成績表★'!I41:I47)=7,"",COUNTIF('★個人成績表★'!I41:I47,"w"))</f>
        <v>3</v>
      </c>
      <c r="G19" s="166">
        <f>IF(COUNTBLANK('★個人成績表★'!I41:I47)=7,"",7-COUNTBLANK('★個人成績表★'!I41:I47)-COUNTIF('★個人成績表★'!I41:I47,"w"))</f>
        <v>4</v>
      </c>
      <c r="H19" s="165">
        <f>IF(COUNTBLANK('★個人成績表★'!K41:K47)=7,"",COUNTIF('★個人成績表★'!K41:K47,"w"))</f>
        <v>4</v>
      </c>
      <c r="I19" s="166">
        <f>IF(COUNTBLANK('★個人成績表★'!K41:K47)=7,"",7-COUNTBLANK('★個人成績表★'!K41:K47)-COUNTIF('★個人成績表★'!K41:K47,"w"))</f>
        <v>3</v>
      </c>
      <c r="J19" s="165">
        <f>IF(COUNTBLANK('★個人成績表★'!M41:M47)=7,"",COUNTIF('★個人成績表★'!M41:M47,"w"))</f>
        <v>3</v>
      </c>
      <c r="K19" s="166">
        <f>IF(COUNTBLANK('★個人成績表★'!M41:M47)=7,"",7-COUNTBLANK('★個人成績表★'!M41:M47)-COUNTIF('★個人成績表★'!M41:M47,"w"))</f>
        <v>4</v>
      </c>
      <c r="L19" s="515"/>
      <c r="M19" s="516"/>
      <c r="N19" s="165">
        <f>IF(COUNTBLANK('★個人成績表★'!L41:L47)=7,"",COUNTIF('★個人成績表★'!L41:L47,"w"))</f>
        <v>5</v>
      </c>
      <c r="O19" s="370">
        <f>IF(COUNTBLANK('★個人成績表★'!L41:L47)=7,"",7-COUNTBLANK('★個人成績表★'!L41:L47)-COUNTIF('★個人成績表★'!L41:L47,"w"))</f>
        <v>2</v>
      </c>
      <c r="P19" s="534"/>
      <c r="Q19" s="532"/>
      <c r="R19" s="464">
        <f>IF('★個人成績表★'!S48=R46,"",'★個人成績表★'!S48)</f>
        <v>5605.8</v>
      </c>
      <c r="S19" s="530"/>
      <c r="W19" s="371">
        <f>P18*100000+'★個人成績表★'!Q48</f>
        <v>3205605.8</v>
      </c>
    </row>
    <row r="20" spans="1:19" ht="27" customHeight="1">
      <c r="A20" s="97" t="str">
        <f>IF('登録'!B22="","",'登録'!B22)</f>
        <v>WRC</v>
      </c>
      <c r="B20" s="98"/>
      <c r="C20" s="132"/>
      <c r="D20" s="134">
        <f>IF(COUNTBLANK('★個人成績表★'!D50:D56)=7,"",COUNTIF('★個人成績表★'!D50:D56,"w"))</f>
        <v>2</v>
      </c>
      <c r="E20" s="107">
        <f>IF(COUNTBLANK('★個人成績表★'!D50:D56)=7,"",7-COUNTBLANK('★個人成績表★'!D50:D56)-COUNTIF('★個人成績表★'!D50:D56,"w"))</f>
        <v>5</v>
      </c>
      <c r="F20" s="125">
        <f>IF(COUNTBLANK('★個人成績表★'!F50:F56)=7,"",COUNTIF('★個人成績表★'!F50:F56,"w"))</f>
        <v>4</v>
      </c>
      <c r="G20" s="126">
        <f>IF(COUNTBLANK('★個人成績表★'!F50:F56)=7,"",7-COUNTBLANK('★個人成績表★'!F50:F56)-COUNTIF('★個人成績表★'!F50:F56,"w"))</f>
        <v>3</v>
      </c>
      <c r="H20" s="125">
        <f>IF(COUNTBLANK('★個人成績表★'!H50:H56)=7,"",COUNTIF('★個人成績表★'!H50:H56,"w"))</f>
        <v>1</v>
      </c>
      <c r="I20" s="126">
        <f>IF(COUNTBLANK('★個人成績表★'!H50:H56)=7,"",7-COUNTBLANK('★個人成績表★'!H50:H56)-COUNTIF('★個人成績表★'!H50:H56,"w"))</f>
        <v>6</v>
      </c>
      <c r="J20" s="125">
        <f>IF(COUNTBLANK('★個人成績表★'!E50:E56)=7,"",COUNTIF('★個人成績表★'!E50:E56,"w"))</f>
        <v>4</v>
      </c>
      <c r="K20" s="126">
        <f>IF(COUNTBLANK('★個人成績表★'!E50:E56)=7,"",7-COUNTBLANK('★個人成績表★'!E50:E56)-COUNTIF('★個人成績表★'!E50:E56,"w"))</f>
        <v>3</v>
      </c>
      <c r="L20" s="125">
        <f>IF(COUNTBLANK('★個人成績表★'!G50:G56)=7,"",COUNTIF('★個人成績表★'!G50:G56,"w"))</f>
        <v>5</v>
      </c>
      <c r="M20" s="126">
        <f>IF(COUNTBLANK('★個人成績表★'!G50:G56)=7,"",7-COUNTBLANK('★個人成績表★'!G50:G56)-COUNTIF('★個人成績表★'!G50:G56,"w"))</f>
        <v>2</v>
      </c>
      <c r="N20" s="502"/>
      <c r="O20" s="503"/>
      <c r="P20" s="533">
        <f>IF(COUNTBLANK($D20:$O21)=24,"",SUM(D20,F20,H20,J20,L20,N20,D21,F21,H21,J21,L21,N21))</f>
        <v>31</v>
      </c>
      <c r="Q20" s="531">
        <f>IF(COUNTBLANK($D20:$O21)=24,"",SUM(E20,G20,I20,K20,M20,O20,E21,G21,I21,K21,M21,O21))</f>
        <v>39</v>
      </c>
      <c r="R20" s="467" t="str">
        <f>IF(ISERROR('★個人成績表★'!P57),"","("&amp;'★個人成績表★'!P57&amp;")")</f>
        <v>(5768)</v>
      </c>
      <c r="S20" s="529">
        <f>IF(W21="","",RANK(W21,$W$10:$W$21))</f>
        <v>4</v>
      </c>
    </row>
    <row r="21" spans="1:23" ht="27" customHeight="1" thickBot="1">
      <c r="A21" s="99"/>
      <c r="B21" s="100"/>
      <c r="C21" s="133"/>
      <c r="D21" s="135">
        <f>IF(COUNTBLANK('★個人成績表★'!I50:I56)=7,"",COUNTIF('★個人成績表★'!I50:I56,"w"))</f>
        <v>1</v>
      </c>
      <c r="E21" s="136">
        <f>IF(COUNTBLANK('★個人成績表★'!I50:I56)=7,"",7-COUNTBLANK('★個人成績表★'!I50:I56)-COUNTIF('★個人成績表★'!I50:I56,"w"))</f>
        <v>6</v>
      </c>
      <c r="F21" s="137">
        <f>IF(COUNTBLANK('★個人成績表★'!K50:K56)=7,"",COUNTIF('★個人成績表★'!K50:K56,"w"))</f>
        <v>4</v>
      </c>
      <c r="G21" s="138">
        <f>IF(COUNTBLANK('★個人成績表★'!K50:K56)=7,"",7-COUNTBLANK('★個人成績表★'!K50:K56)-COUNTIF('★個人成績表★'!K50:K56,"w"))</f>
        <v>3</v>
      </c>
      <c r="H21" s="137">
        <f>IF(COUNTBLANK('★個人成績表★'!M50:M56)=7,"",COUNTIF('★個人成績表★'!M50:M56,"w"))</f>
        <v>4</v>
      </c>
      <c r="I21" s="138">
        <f>IF(COUNTBLANK('★個人成績表★'!M50:M56)=7,"",7-COUNTBLANK('★個人成績表★'!M50:M56)-COUNTIF('★個人成績表★'!M50:M56,"w"))</f>
        <v>3</v>
      </c>
      <c r="J21" s="137">
        <f>IF(COUNTBLANK('★個人成績表★'!J50:J56)=7,"",COUNTIF('★個人成績表★'!J50:J56,"w"))</f>
        <v>4</v>
      </c>
      <c r="K21" s="138">
        <f>IF(COUNTBLANK('★個人成績表★'!J50:J56)=7,"",7-COUNTBLANK('★個人成績表★'!J50:J56)-COUNTIF('★個人成績表★'!J50:J56,"w"))</f>
        <v>3</v>
      </c>
      <c r="L21" s="137">
        <f>IF(COUNTBLANK('★個人成績表★'!L50:L56)=7,"",COUNTIF('★個人成績表★'!L50:L56,"w"))</f>
        <v>2</v>
      </c>
      <c r="M21" s="138">
        <f>IF(COUNTBLANK('★個人成績表★'!L50:L56)=7,"",7-COUNTBLANK('★個人成績表★'!L50:L56)-COUNTIF('★個人成績表★'!L50:L56,"w"))</f>
        <v>5</v>
      </c>
      <c r="N21" s="504"/>
      <c r="O21" s="505"/>
      <c r="P21" s="540"/>
      <c r="Q21" s="539"/>
      <c r="R21" s="465">
        <f>IF('★個人成績表★'!S57=R55,"",'★個人成績表★'!S57)</f>
        <v>5910.6</v>
      </c>
      <c r="S21" s="538"/>
      <c r="W21" s="371">
        <f>IF(ISERROR(P20*100000+'★個人成績表★'!Q57),"",P20*100000+'★個人成績表★'!Q57)</f>
        <v>3105910.6</v>
      </c>
    </row>
    <row r="22" ht="30" customHeight="1">
      <c r="W22" s="371"/>
    </row>
    <row r="23" ht="30" customHeight="1"/>
  </sheetData>
  <sheetProtection/>
  <mergeCells count="36">
    <mergeCell ref="S18:S19"/>
    <mergeCell ref="S20:S21"/>
    <mergeCell ref="Q20:Q21"/>
    <mergeCell ref="P20:P21"/>
    <mergeCell ref="P18:P19"/>
    <mergeCell ref="Q18:Q19"/>
    <mergeCell ref="P12:P13"/>
    <mergeCell ref="Q12:Q13"/>
    <mergeCell ref="S10:S11"/>
    <mergeCell ref="S12:S13"/>
    <mergeCell ref="P10:P11"/>
    <mergeCell ref="Q10:Q11"/>
    <mergeCell ref="P8:P9"/>
    <mergeCell ref="Q8:Q9"/>
    <mergeCell ref="R8:R9"/>
    <mergeCell ref="S8:S9"/>
    <mergeCell ref="S14:S15"/>
    <mergeCell ref="S16:S17"/>
    <mergeCell ref="Q16:Q17"/>
    <mergeCell ref="P16:P17"/>
    <mergeCell ref="P14:P15"/>
    <mergeCell ref="Q14:Q15"/>
    <mergeCell ref="A1:S2"/>
    <mergeCell ref="P4:S4"/>
    <mergeCell ref="P5:S5"/>
    <mergeCell ref="D4:H4"/>
    <mergeCell ref="D5:H5"/>
    <mergeCell ref="J4:N4"/>
    <mergeCell ref="J5:N5"/>
    <mergeCell ref="D6:N6"/>
    <mergeCell ref="N20:O21"/>
    <mergeCell ref="D10:E11"/>
    <mergeCell ref="F12:G13"/>
    <mergeCell ref="H14:I15"/>
    <mergeCell ref="J16:K17"/>
    <mergeCell ref="L18:M19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 Kazunori</dc:creator>
  <cp:keywords/>
  <dc:description/>
  <cp:lastModifiedBy>USER</cp:lastModifiedBy>
  <cp:lastPrinted>2016-01-23T05:39:04Z</cp:lastPrinted>
  <dcterms:created xsi:type="dcterms:W3CDTF">2000-07-28T09:12:53Z</dcterms:created>
  <dcterms:modified xsi:type="dcterms:W3CDTF">2016-01-24T10:25:57Z</dcterms:modified>
  <cp:category/>
  <cp:version/>
  <cp:contentType/>
  <cp:contentStatus/>
</cp:coreProperties>
</file>