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RC\Desktop\"/>
    </mc:Choice>
  </mc:AlternateContent>
  <bookViews>
    <workbookView xWindow="0" yWindow="0" windowWidth="20490" windowHeight="7770" firstSheet="1" activeTab="5"/>
  </bookViews>
  <sheets>
    <sheet name="【準備】登録" sheetId="1" r:id="rId1"/>
    <sheet name="【準備】対戦カード" sheetId="2" r:id="rId2"/>
    <sheet name="【進行】結果入力表" sheetId="3" r:id="rId3"/>
    <sheet name="【結果】個人成績表" sheetId="4" r:id="rId4"/>
    <sheet name="【結果】リーグ成績表" sheetId="5" r:id="rId5"/>
    <sheet name="【結果】総合結果表" sheetId="6" r:id="rId6"/>
  </sheets>
  <definedNames>
    <definedName name="_xlnm._FilterDatabase" localSheetId="2" hidden="1">【進行】結果入力表!$A$6:$J$78</definedName>
    <definedName name="_xlnm.Print_Area" localSheetId="4">【結果】リーグ成績表!$A$1:$BG$43</definedName>
    <definedName name="_xlnm.Print_Area" localSheetId="3">【結果】個人成績表!$A$1:$BR$35</definedName>
    <definedName name="_xlnm.Print_Area" localSheetId="1">【準備】対戦カード!$A$11:$BK$100</definedName>
    <definedName name="_xlnm.Print_Area" localSheetId="0">【準備】登録!$A$1:$AA$22</definedName>
    <definedName name="_xlnm.Print_Area" localSheetId="2">【進行】結果入力表!$B$5:$M$79</definedName>
    <definedName name="点数">【準備】登録!$I$15:$I$16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6" l="1"/>
  <c r="Q12" i="6" s="1"/>
  <c r="B22" i="6"/>
  <c r="K12" i="6" s="1"/>
  <c r="B16" i="6"/>
  <c r="E12" i="6" s="1"/>
  <c r="AK4" i="6"/>
  <c r="BG42" i="5"/>
  <c r="BE42" i="5"/>
  <c r="AZ42" i="5"/>
  <c r="AV42" i="5"/>
  <c r="AT42" i="5"/>
  <c r="AS42" i="5"/>
  <c r="AM42" i="5"/>
  <c r="AK42" i="5"/>
  <c r="AF42" i="5"/>
  <c r="AB42" i="5"/>
  <c r="Z42" i="5"/>
  <c r="Y42" i="5"/>
  <c r="S42" i="5"/>
  <c r="Q42" i="5"/>
  <c r="L42" i="5"/>
  <c r="F42" i="5"/>
  <c r="E42" i="5"/>
  <c r="A42" i="5"/>
  <c r="AO42" i="5" s="1"/>
  <c r="BG41" i="5"/>
  <c r="BE41" i="5"/>
  <c r="AZ41" i="5"/>
  <c r="AX41" i="5"/>
  <c r="AT41" i="5"/>
  <c r="BE40" i="5" s="1"/>
  <c r="AS41" i="5"/>
  <c r="AM41" i="5"/>
  <c r="AK41" i="5"/>
  <c r="AF41" i="5"/>
  <c r="AD41" i="5"/>
  <c r="Z41" i="5"/>
  <c r="AK40" i="5" s="1"/>
  <c r="Y41" i="5"/>
  <c r="S41" i="5"/>
  <c r="L41" i="5"/>
  <c r="J41" i="5"/>
  <c r="F41" i="5"/>
  <c r="Q40" i="5" s="1"/>
  <c r="E41" i="5"/>
  <c r="A41" i="5"/>
  <c r="AO41" i="5" s="1"/>
  <c r="BG40" i="5"/>
  <c r="BB40" i="5"/>
  <c r="AZ40" i="5"/>
  <c r="AX40" i="5"/>
  <c r="BD42" i="5" s="1"/>
  <c r="AV40" i="5"/>
  <c r="AS40" i="5"/>
  <c r="AM40" i="5"/>
  <c r="AH40" i="5"/>
  <c r="AF40" i="5"/>
  <c r="AD40" i="5"/>
  <c r="AJ42" i="5" s="1"/>
  <c r="AB40" i="5"/>
  <c r="Y40" i="5"/>
  <c r="S40" i="5"/>
  <c r="N40" i="5"/>
  <c r="L40" i="5"/>
  <c r="J40" i="5"/>
  <c r="P42" i="5" s="1"/>
  <c r="H40" i="5"/>
  <c r="E40" i="5"/>
  <c r="A40" i="5"/>
  <c r="AO40" i="5" s="1"/>
  <c r="AX39" i="5"/>
  <c r="AT39" i="5"/>
  <c r="AS39" i="5"/>
  <c r="Z39" i="5"/>
  <c r="Y39" i="5"/>
  <c r="J39" i="5"/>
  <c r="F39" i="5"/>
  <c r="E39" i="5"/>
  <c r="A39" i="5"/>
  <c r="AV37" i="5"/>
  <c r="AT37" i="5"/>
  <c r="BE35" i="5" s="1"/>
  <c r="AS37" i="5"/>
  <c r="AB37" i="5"/>
  <c r="Z37" i="5"/>
  <c r="Y37" i="5"/>
  <c r="H37" i="5"/>
  <c r="F37" i="5"/>
  <c r="Q35" i="5" s="1"/>
  <c r="E37" i="5"/>
  <c r="AX36" i="5"/>
  <c r="AT36" i="5"/>
  <c r="AS36" i="5"/>
  <c r="AD36" i="5"/>
  <c r="Z36" i="5"/>
  <c r="AK35" i="5" s="1"/>
  <c r="Y36" i="5"/>
  <c r="J36" i="5"/>
  <c r="F36" i="5"/>
  <c r="E36" i="5"/>
  <c r="AX35" i="5"/>
  <c r="AV35" i="5"/>
  <c r="AS35" i="5"/>
  <c r="AD35" i="5"/>
  <c r="AB35" i="5"/>
  <c r="Y35" i="5"/>
  <c r="J35" i="5"/>
  <c r="H35" i="5"/>
  <c r="E35" i="5"/>
  <c r="AX34" i="5"/>
  <c r="AS34" i="5"/>
  <c r="Z34" i="5"/>
  <c r="Y34" i="5"/>
  <c r="J34" i="5"/>
  <c r="E34" i="5"/>
  <c r="AV32" i="5"/>
  <c r="AT32" i="5"/>
  <c r="AS32" i="5"/>
  <c r="AB32" i="5"/>
  <c r="Z32" i="5"/>
  <c r="Y32" i="5"/>
  <c r="H32" i="5"/>
  <c r="F32" i="5"/>
  <c r="E32" i="5"/>
  <c r="AX31" i="5"/>
  <c r="AT31" i="5"/>
  <c r="AS31" i="5"/>
  <c r="AD31" i="5"/>
  <c r="Z31" i="5"/>
  <c r="Y31" i="5"/>
  <c r="J31" i="5"/>
  <c r="F31" i="5"/>
  <c r="E31" i="5"/>
  <c r="AX30" i="5"/>
  <c r="AV30" i="5"/>
  <c r="AS30" i="5"/>
  <c r="AD30" i="5"/>
  <c r="AB30" i="5"/>
  <c r="Y30" i="5"/>
  <c r="J30" i="5"/>
  <c r="H30" i="5"/>
  <c r="E30" i="5"/>
  <c r="AT29" i="5"/>
  <c r="AS29" i="5"/>
  <c r="AD29" i="5"/>
  <c r="Y29" i="5"/>
  <c r="F29" i="5"/>
  <c r="E29" i="5"/>
  <c r="AV27" i="5"/>
  <c r="AT27" i="5"/>
  <c r="AS27" i="5"/>
  <c r="AB27" i="5"/>
  <c r="Z27" i="5"/>
  <c r="Y27" i="5"/>
  <c r="H27" i="5"/>
  <c r="F27" i="5"/>
  <c r="E27" i="5"/>
  <c r="AX26" i="5"/>
  <c r="AT26" i="5"/>
  <c r="AS26" i="5"/>
  <c r="AD26" i="5"/>
  <c r="Z26" i="5"/>
  <c r="Y26" i="5"/>
  <c r="J26" i="5"/>
  <c r="F26" i="5"/>
  <c r="E26" i="5"/>
  <c r="AX25" i="5"/>
  <c r="AV25" i="5"/>
  <c r="AS25" i="5"/>
  <c r="AD25" i="5"/>
  <c r="AB25" i="5"/>
  <c r="Y25" i="5"/>
  <c r="J25" i="5"/>
  <c r="H25" i="5"/>
  <c r="E25" i="5"/>
  <c r="AS24" i="5"/>
  <c r="Z24" i="5"/>
  <c r="Y24" i="5"/>
  <c r="E24" i="5"/>
  <c r="AV22" i="5"/>
  <c r="AT22" i="5"/>
  <c r="AS22" i="5"/>
  <c r="AB22" i="5"/>
  <c r="Z22" i="5"/>
  <c r="Y22" i="5"/>
  <c r="H22" i="5"/>
  <c r="F22" i="5"/>
  <c r="E22" i="5"/>
  <c r="AX21" i="5"/>
  <c r="AT21" i="5"/>
  <c r="AS21" i="5"/>
  <c r="AD21" i="5"/>
  <c r="Z21" i="5"/>
  <c r="Y21" i="5"/>
  <c r="J21" i="5"/>
  <c r="F21" i="5"/>
  <c r="E21" i="5"/>
  <c r="AX20" i="5"/>
  <c r="BE22" i="5" s="1"/>
  <c r="AV20" i="5"/>
  <c r="BE21" i="5" s="1"/>
  <c r="AS20" i="5"/>
  <c r="AD20" i="5"/>
  <c r="AB20" i="5"/>
  <c r="Y20" i="5"/>
  <c r="J20" i="5"/>
  <c r="H20" i="5"/>
  <c r="Q21" i="5" s="1"/>
  <c r="E20" i="5"/>
  <c r="AX19" i="5"/>
  <c r="AT19" i="5"/>
  <c r="AS19" i="5"/>
  <c r="Z19" i="5"/>
  <c r="Y19" i="5"/>
  <c r="J19" i="5"/>
  <c r="F19" i="5"/>
  <c r="E19" i="5"/>
  <c r="AV17" i="5"/>
  <c r="AT17" i="5"/>
  <c r="AS17" i="5"/>
  <c r="AB17" i="5"/>
  <c r="Z17" i="5"/>
  <c r="Y17" i="5"/>
  <c r="H17" i="5"/>
  <c r="F17" i="5"/>
  <c r="E17" i="5"/>
  <c r="AX16" i="5"/>
  <c r="AT16" i="5"/>
  <c r="AS16" i="5"/>
  <c r="AD16" i="5"/>
  <c r="Z16" i="5"/>
  <c r="Y16" i="5"/>
  <c r="J16" i="5"/>
  <c r="F16" i="5"/>
  <c r="E16" i="5"/>
  <c r="AX15" i="5"/>
  <c r="AV15" i="5"/>
  <c r="AS15" i="5"/>
  <c r="AD15" i="5"/>
  <c r="AB15" i="5"/>
  <c r="Y15" i="5"/>
  <c r="J15" i="5"/>
  <c r="H15" i="5"/>
  <c r="E15" i="5"/>
  <c r="AX14" i="5"/>
  <c r="AT14" i="5"/>
  <c r="AS14" i="5"/>
  <c r="Z14" i="5"/>
  <c r="Y14" i="5"/>
  <c r="J14" i="5"/>
  <c r="F14" i="5"/>
  <c r="E14" i="5"/>
  <c r="AV12" i="5"/>
  <c r="AT12" i="5"/>
  <c r="AS12" i="5"/>
  <c r="AB12" i="5"/>
  <c r="Z12" i="5"/>
  <c r="Y12" i="5"/>
  <c r="H12" i="5"/>
  <c r="F12" i="5"/>
  <c r="E12" i="5"/>
  <c r="AX11" i="5"/>
  <c r="AT11" i="5"/>
  <c r="AS11" i="5"/>
  <c r="AD11" i="5"/>
  <c r="Z11" i="5"/>
  <c r="Y11" i="5"/>
  <c r="J11" i="5"/>
  <c r="F11" i="5"/>
  <c r="E11" i="5"/>
  <c r="AX10" i="5"/>
  <c r="BE12" i="5" s="1"/>
  <c r="AV10" i="5"/>
  <c r="AS10" i="5"/>
  <c r="AD10" i="5"/>
  <c r="AB10" i="5"/>
  <c r="Y10" i="5"/>
  <c r="J10" i="5"/>
  <c r="Q12" i="5" s="1"/>
  <c r="H10" i="5"/>
  <c r="E10" i="5"/>
  <c r="AX9" i="5"/>
  <c r="AT9" i="5"/>
  <c r="AS9" i="5"/>
  <c r="Z9" i="5"/>
  <c r="Y9" i="5"/>
  <c r="J9" i="5"/>
  <c r="F9" i="5"/>
  <c r="E9" i="5"/>
  <c r="AV7" i="5"/>
  <c r="AT7" i="5"/>
  <c r="AS7" i="5"/>
  <c r="AB7" i="5"/>
  <c r="Z7" i="5"/>
  <c r="Y7" i="5"/>
  <c r="H7" i="5"/>
  <c r="F7" i="5"/>
  <c r="E7" i="5"/>
  <c r="A7" i="5"/>
  <c r="U37" i="5" s="1"/>
  <c r="AX6" i="5"/>
  <c r="AT6" i="5"/>
  <c r="AS6" i="5"/>
  <c r="AD6" i="5"/>
  <c r="Z6" i="5"/>
  <c r="Y6" i="5"/>
  <c r="J6" i="5"/>
  <c r="F6" i="5"/>
  <c r="E6" i="5"/>
  <c r="A6" i="5"/>
  <c r="AX5" i="5"/>
  <c r="BE7" i="5" s="1"/>
  <c r="AV5" i="5"/>
  <c r="AS5" i="5"/>
  <c r="AD5" i="5"/>
  <c r="AB5" i="5"/>
  <c r="Y5" i="5"/>
  <c r="J5" i="5"/>
  <c r="Q7" i="5" s="1"/>
  <c r="H5" i="5"/>
  <c r="E5" i="5"/>
  <c r="A5" i="5"/>
  <c r="AX4" i="5"/>
  <c r="AV4" i="5"/>
  <c r="AT4" i="5"/>
  <c r="AS4" i="5"/>
  <c r="AD4" i="5"/>
  <c r="AB4" i="5"/>
  <c r="Z4" i="5"/>
  <c r="Y4" i="5"/>
  <c r="J4" i="5"/>
  <c r="H4" i="5"/>
  <c r="F4" i="5"/>
  <c r="A4" i="5"/>
  <c r="AZ2" i="5"/>
  <c r="CD33" i="4"/>
  <c r="BY33" i="4"/>
  <c r="BH33" i="4"/>
  <c r="BF33" i="4"/>
  <c r="BD33" i="4"/>
  <c r="BB33" i="4"/>
  <c r="BJ33" i="4" s="1"/>
  <c r="AR33" i="4"/>
  <c r="AW33" i="4" s="1"/>
  <c r="AN33" i="4"/>
  <c r="AL33" i="4"/>
  <c r="AJ33" i="4"/>
  <c r="AH33" i="4"/>
  <c r="AP33" i="4" s="1"/>
  <c r="X33" i="4"/>
  <c r="AC33" i="4" s="1"/>
  <c r="T33" i="4"/>
  <c r="R33" i="4"/>
  <c r="P33" i="4"/>
  <c r="N33" i="4"/>
  <c r="V33" i="4" s="1"/>
  <c r="I33" i="4"/>
  <c r="F33" i="4"/>
  <c r="E33" i="4"/>
  <c r="B33" i="4"/>
  <c r="CC33" i="4" s="1"/>
  <c r="CE33" i="4" s="1"/>
  <c r="BR32" i="4"/>
  <c r="BQ32" i="4"/>
  <c r="BP32" i="4"/>
  <c r="BO32" i="4"/>
  <c r="BN32" i="4"/>
  <c r="BM32" i="4"/>
  <c r="BB32" i="4"/>
  <c r="BE32" i="4" s="1"/>
  <c r="AR32" i="4"/>
  <c r="AT32" i="4" s="1"/>
  <c r="AH32" i="4"/>
  <c r="AK32" i="4" s="1"/>
  <c r="X32" i="4"/>
  <c r="Z32" i="4" s="1"/>
  <c r="N32" i="4"/>
  <c r="Q32" i="4" s="1"/>
  <c r="F32" i="4"/>
  <c r="J32" i="4" s="1"/>
  <c r="E32" i="4"/>
  <c r="B32" i="4"/>
  <c r="BY32" i="4" s="1"/>
  <c r="BR31" i="4"/>
  <c r="BQ31" i="4"/>
  <c r="BP31" i="4"/>
  <c r="BO31" i="4"/>
  <c r="BN31" i="4"/>
  <c r="BM31" i="4"/>
  <c r="BB31" i="4"/>
  <c r="BD31" i="4" s="1"/>
  <c r="AR31" i="4"/>
  <c r="AU31" i="4" s="1"/>
  <c r="AH31" i="4"/>
  <c r="AJ31" i="4" s="1"/>
  <c r="X31" i="4"/>
  <c r="AA31" i="4" s="1"/>
  <c r="N31" i="4"/>
  <c r="P31" i="4" s="1"/>
  <c r="F31" i="4"/>
  <c r="E31" i="4"/>
  <c r="B31" i="4"/>
  <c r="BY31" i="4" s="1"/>
  <c r="BR30" i="4"/>
  <c r="BQ30" i="4"/>
  <c r="BP30" i="4"/>
  <c r="BO30" i="4"/>
  <c r="BN30" i="4"/>
  <c r="BM30" i="4"/>
  <c r="BB30" i="4"/>
  <c r="AR30" i="4"/>
  <c r="AT30" i="4" s="1"/>
  <c r="AH30" i="4"/>
  <c r="X30" i="4"/>
  <c r="Z30" i="4" s="1"/>
  <c r="N30" i="4"/>
  <c r="F30" i="4"/>
  <c r="J30" i="4" s="1"/>
  <c r="E30" i="4"/>
  <c r="B30" i="4"/>
  <c r="BY30" i="4" s="1"/>
  <c r="BR29" i="4"/>
  <c r="BQ29" i="4"/>
  <c r="BP29" i="4"/>
  <c r="BO29" i="4"/>
  <c r="BN29" i="4"/>
  <c r="BM29" i="4"/>
  <c r="BB29" i="4"/>
  <c r="BD29" i="4" s="1"/>
  <c r="AR29" i="4"/>
  <c r="AU29" i="4" s="1"/>
  <c r="AH29" i="4"/>
  <c r="AJ29" i="4" s="1"/>
  <c r="X29" i="4"/>
  <c r="AA29" i="4" s="1"/>
  <c r="N29" i="4"/>
  <c r="P29" i="4" s="1"/>
  <c r="F29" i="4"/>
  <c r="E29" i="4"/>
  <c r="B29" i="4"/>
  <c r="BY29" i="4" s="1"/>
  <c r="BR28" i="4"/>
  <c r="BQ28" i="4"/>
  <c r="BP28" i="4"/>
  <c r="BO28" i="4"/>
  <c r="BN28" i="4"/>
  <c r="BM28" i="4"/>
  <c r="BB28" i="4"/>
  <c r="AR28" i="4"/>
  <c r="AT28" i="4" s="1"/>
  <c r="AH28" i="4"/>
  <c r="X28" i="4"/>
  <c r="Z28" i="4" s="1"/>
  <c r="N28" i="4"/>
  <c r="F28" i="4"/>
  <c r="J28" i="4" s="1"/>
  <c r="E28" i="4"/>
  <c r="B28" i="4"/>
  <c r="BY28" i="4" s="1"/>
  <c r="BR27" i="4"/>
  <c r="BQ27" i="4"/>
  <c r="BP27" i="4"/>
  <c r="BO27" i="4"/>
  <c r="BN27" i="4"/>
  <c r="BM27" i="4"/>
  <c r="BB27" i="4"/>
  <c r="BD27" i="4" s="1"/>
  <c r="AR27" i="4"/>
  <c r="AH27" i="4"/>
  <c r="AJ27" i="4" s="1"/>
  <c r="X27" i="4"/>
  <c r="N27" i="4"/>
  <c r="P27" i="4" s="1"/>
  <c r="F27" i="4"/>
  <c r="I27" i="4" s="1"/>
  <c r="E27" i="4"/>
  <c r="B27" i="4"/>
  <c r="BY27" i="4" s="1"/>
  <c r="BR26" i="4"/>
  <c r="BQ26" i="4"/>
  <c r="BP26" i="4"/>
  <c r="BO26" i="4"/>
  <c r="BN26" i="4"/>
  <c r="BM26" i="4"/>
  <c r="BB26" i="4"/>
  <c r="AR26" i="4"/>
  <c r="AT26" i="4" s="1"/>
  <c r="AH26" i="4"/>
  <c r="X26" i="4"/>
  <c r="Z26" i="4" s="1"/>
  <c r="N26" i="4"/>
  <c r="F26" i="4"/>
  <c r="H26" i="4" s="1"/>
  <c r="E26" i="4"/>
  <c r="B26" i="4"/>
  <c r="BK34" i="4" s="1"/>
  <c r="CF25" i="4"/>
  <c r="CE25" i="4"/>
  <c r="CD25" i="4"/>
  <c r="CC25" i="4"/>
  <c r="BR25" i="4"/>
  <c r="BQ25" i="4"/>
  <c r="BP25" i="4"/>
  <c r="BO25" i="4"/>
  <c r="BN25" i="4"/>
  <c r="BM25" i="4"/>
  <c r="E25" i="4"/>
  <c r="B25" i="4"/>
  <c r="A25" i="4"/>
  <c r="AH15" i="4" s="1"/>
  <c r="BN23" i="4"/>
  <c r="BM23" i="4"/>
  <c r="T23" i="4"/>
  <c r="R23" i="4"/>
  <c r="P23" i="4"/>
  <c r="N23" i="4"/>
  <c r="V23" i="4" s="1"/>
  <c r="F23" i="4"/>
  <c r="E23" i="4"/>
  <c r="B23" i="4"/>
  <c r="CC23" i="4" s="1"/>
  <c r="CE23" i="4" s="1"/>
  <c r="BN22" i="4"/>
  <c r="BM22" i="4"/>
  <c r="N22" i="4"/>
  <c r="F22" i="4"/>
  <c r="J22" i="4" s="1"/>
  <c r="E22" i="4"/>
  <c r="B22" i="4"/>
  <c r="BY22" i="4" s="1"/>
  <c r="BP21" i="4"/>
  <c r="BO21" i="4"/>
  <c r="BN21" i="4"/>
  <c r="BM21" i="4"/>
  <c r="AH21" i="4"/>
  <c r="AJ21" i="4" s="1"/>
  <c r="X21" i="4"/>
  <c r="N21" i="4"/>
  <c r="P21" i="4" s="1"/>
  <c r="F21" i="4"/>
  <c r="I21" i="4" s="1"/>
  <c r="E21" i="4"/>
  <c r="B21" i="4"/>
  <c r="BY21" i="4" s="1"/>
  <c r="BR20" i="4"/>
  <c r="BQ20" i="4"/>
  <c r="BP20" i="4"/>
  <c r="BO20" i="4"/>
  <c r="BN20" i="4"/>
  <c r="BM20" i="4"/>
  <c r="BB20" i="4"/>
  <c r="AR20" i="4"/>
  <c r="AT20" i="4" s="1"/>
  <c r="AH20" i="4"/>
  <c r="X20" i="4"/>
  <c r="Z20" i="4" s="1"/>
  <c r="N20" i="4"/>
  <c r="F20" i="4"/>
  <c r="H20" i="4" s="1"/>
  <c r="E20" i="4"/>
  <c r="B20" i="4"/>
  <c r="BY20" i="4" s="1"/>
  <c r="BR19" i="4"/>
  <c r="BQ19" i="4"/>
  <c r="BP19" i="4"/>
  <c r="BO19" i="4"/>
  <c r="BN19" i="4"/>
  <c r="BU19" i="4" s="1"/>
  <c r="BM19" i="4"/>
  <c r="BD19" i="4"/>
  <c r="BB19" i="4"/>
  <c r="AR19" i="4"/>
  <c r="AH19" i="4"/>
  <c r="AJ19" i="4" s="1"/>
  <c r="X19" i="4"/>
  <c r="N19" i="4"/>
  <c r="P19" i="4" s="1"/>
  <c r="F19" i="4"/>
  <c r="I19" i="4" s="1"/>
  <c r="E19" i="4"/>
  <c r="B19" i="4"/>
  <c r="BY19" i="4" s="1"/>
  <c r="BR18" i="4"/>
  <c r="BQ18" i="4"/>
  <c r="BP18" i="4"/>
  <c r="BO18" i="4"/>
  <c r="BN18" i="4"/>
  <c r="BM18" i="4"/>
  <c r="BU18" i="4" s="1"/>
  <c r="BB18" i="4"/>
  <c r="BE18" i="4" s="1"/>
  <c r="AR18" i="4"/>
  <c r="AT18" i="4" s="1"/>
  <c r="AH18" i="4"/>
  <c r="AK18" i="4" s="1"/>
  <c r="X18" i="4"/>
  <c r="Z18" i="4" s="1"/>
  <c r="N18" i="4"/>
  <c r="Q18" i="4" s="1"/>
  <c r="H18" i="4"/>
  <c r="F18" i="4"/>
  <c r="E18" i="4"/>
  <c r="B18" i="4"/>
  <c r="BY18" i="4" s="1"/>
  <c r="BR17" i="4"/>
  <c r="BQ17" i="4"/>
  <c r="BP17" i="4"/>
  <c r="BO17" i="4"/>
  <c r="BN17" i="4"/>
  <c r="BM17" i="4"/>
  <c r="BB17" i="4"/>
  <c r="BD17" i="4" s="1"/>
  <c r="AR17" i="4"/>
  <c r="AU17" i="4" s="1"/>
  <c r="AH17" i="4"/>
  <c r="AJ17" i="4" s="1"/>
  <c r="X17" i="4"/>
  <c r="AA17" i="4" s="1"/>
  <c r="N17" i="4"/>
  <c r="P17" i="4" s="1"/>
  <c r="F17" i="4"/>
  <c r="E17" i="4"/>
  <c r="B17" i="4"/>
  <c r="BY17" i="4" s="1"/>
  <c r="BR16" i="4"/>
  <c r="BQ16" i="4"/>
  <c r="BP16" i="4"/>
  <c r="BO16" i="4"/>
  <c r="BN16" i="4"/>
  <c r="BM16" i="4"/>
  <c r="BB16" i="4"/>
  <c r="AR16" i="4"/>
  <c r="AT16" i="4" s="1"/>
  <c r="AH16" i="4"/>
  <c r="X16" i="4"/>
  <c r="Z16" i="4" s="1"/>
  <c r="N16" i="4"/>
  <c r="F16" i="4"/>
  <c r="J16" i="4" s="1"/>
  <c r="E16" i="4"/>
  <c r="B16" i="4"/>
  <c r="BK24" i="4" s="1"/>
  <c r="CF15" i="4"/>
  <c r="CE15" i="4"/>
  <c r="CD15" i="4"/>
  <c r="CC15" i="4"/>
  <c r="BR15" i="4"/>
  <c r="BQ15" i="4"/>
  <c r="BP15" i="4"/>
  <c r="BO15" i="4"/>
  <c r="BN15" i="4"/>
  <c r="BM15" i="4"/>
  <c r="BB15" i="4"/>
  <c r="N15" i="4"/>
  <c r="E15" i="4"/>
  <c r="B15" i="4"/>
  <c r="A15" i="4"/>
  <c r="N5" i="4" s="1"/>
  <c r="AH5" i="4" s="1"/>
  <c r="CC13" i="4"/>
  <c r="CE13" i="4" s="1"/>
  <c r="BN13" i="4"/>
  <c r="BM13" i="4"/>
  <c r="N13" i="4"/>
  <c r="S13" i="4" s="1"/>
  <c r="J13" i="4"/>
  <c r="H13" i="4"/>
  <c r="F13" i="4"/>
  <c r="L13" i="4" s="1"/>
  <c r="E13" i="4"/>
  <c r="B13" i="4"/>
  <c r="CF13" i="4" s="1"/>
  <c r="BN12" i="4"/>
  <c r="BM12" i="4"/>
  <c r="N12" i="4"/>
  <c r="P12" i="4" s="1"/>
  <c r="F12" i="4"/>
  <c r="I12" i="4" s="1"/>
  <c r="E12" i="4"/>
  <c r="B12" i="4"/>
  <c r="BY12" i="4" s="1"/>
  <c r="BN11" i="4"/>
  <c r="BM11" i="4"/>
  <c r="N11" i="4"/>
  <c r="F11" i="4"/>
  <c r="J11" i="4" s="1"/>
  <c r="E11" i="4"/>
  <c r="B11" i="4"/>
  <c r="BY11" i="4" s="1"/>
  <c r="BP10" i="4"/>
  <c r="BO10" i="4"/>
  <c r="BN10" i="4"/>
  <c r="BM10" i="4"/>
  <c r="AH10" i="4"/>
  <c r="AJ10" i="4" s="1"/>
  <c r="X10" i="4"/>
  <c r="AA10" i="4" s="1"/>
  <c r="N10" i="4"/>
  <c r="P10" i="4" s="1"/>
  <c r="F10" i="4"/>
  <c r="E10" i="4"/>
  <c r="B10" i="4"/>
  <c r="BY10" i="4" s="1"/>
  <c r="BP9" i="4"/>
  <c r="BO9" i="4"/>
  <c r="BN9" i="4"/>
  <c r="BM9" i="4"/>
  <c r="AH9" i="4"/>
  <c r="X9" i="4"/>
  <c r="Z9" i="4" s="1"/>
  <c r="N9" i="4"/>
  <c r="F9" i="4"/>
  <c r="H9" i="4" s="1"/>
  <c r="E9" i="4"/>
  <c r="B9" i="4"/>
  <c r="BY9" i="4" s="1"/>
  <c r="CI8" i="4"/>
  <c r="BR8" i="4"/>
  <c r="BQ8" i="4"/>
  <c r="BP8" i="4"/>
  <c r="BO8" i="4"/>
  <c r="BN8" i="4"/>
  <c r="BM8" i="4"/>
  <c r="BB8" i="4"/>
  <c r="BD8" i="4" s="1"/>
  <c r="AR8" i="4"/>
  <c r="AU8" i="4" s="1"/>
  <c r="AH8" i="4"/>
  <c r="AJ8" i="4" s="1"/>
  <c r="X8" i="4"/>
  <c r="Z8" i="4" s="1"/>
  <c r="N8" i="4"/>
  <c r="Q8" i="4" s="1"/>
  <c r="F8" i="4"/>
  <c r="J8" i="4" s="1"/>
  <c r="E8" i="4"/>
  <c r="B8" i="4"/>
  <c r="BY8" i="4" s="1"/>
  <c r="CI7" i="4"/>
  <c r="BR7" i="4"/>
  <c r="BQ7" i="4"/>
  <c r="BP7" i="4"/>
  <c r="BO7" i="4"/>
  <c r="BN7" i="4"/>
  <c r="BM7" i="4"/>
  <c r="BB7" i="4"/>
  <c r="BD7" i="4" s="1"/>
  <c r="AR7" i="4"/>
  <c r="AU7" i="4" s="1"/>
  <c r="AH7" i="4"/>
  <c r="AJ7" i="4" s="1"/>
  <c r="X7" i="4"/>
  <c r="AA7" i="4" s="1"/>
  <c r="N7" i="4"/>
  <c r="P7" i="4" s="1"/>
  <c r="F7" i="4"/>
  <c r="I7" i="4" s="1"/>
  <c r="E7" i="4"/>
  <c r="B7" i="4"/>
  <c r="BY7" i="4" s="1"/>
  <c r="BR6" i="4"/>
  <c r="BQ6" i="4"/>
  <c r="BP6" i="4"/>
  <c r="BO6" i="4"/>
  <c r="BN6" i="4"/>
  <c r="BM6" i="4"/>
  <c r="BB6" i="4"/>
  <c r="AR6" i="4"/>
  <c r="AT6" i="4" s="1"/>
  <c r="AH6" i="4"/>
  <c r="X6" i="4"/>
  <c r="Z6" i="4" s="1"/>
  <c r="N6" i="4"/>
  <c r="F6" i="4"/>
  <c r="J6" i="4" s="1"/>
  <c r="E6" i="4"/>
  <c r="B6" i="4"/>
  <c r="F5" i="4"/>
  <c r="AR5" i="4" s="1"/>
  <c r="A5" i="4"/>
  <c r="BM2" i="4"/>
  <c r="A1" i="4"/>
  <c r="BD91" i="2" s="1"/>
  <c r="I78" i="3"/>
  <c r="BR33" i="4" s="1"/>
  <c r="C76" i="3"/>
  <c r="J75" i="3"/>
  <c r="C74" i="3"/>
  <c r="J71" i="3"/>
  <c r="I70" i="3"/>
  <c r="D70" i="3"/>
  <c r="B62" i="3" s="1"/>
  <c r="BN73" i="2" s="1"/>
  <c r="J67" i="3"/>
  <c r="L59" i="3" s="1"/>
  <c r="J63" i="3"/>
  <c r="L55" i="3" s="1"/>
  <c r="I62" i="3"/>
  <c r="D62" i="3"/>
  <c r="I60" i="3"/>
  <c r="C54" i="3"/>
  <c r="C52" i="3"/>
  <c r="I46" i="3"/>
  <c r="D46" i="3"/>
  <c r="M43" i="3"/>
  <c r="I42" i="3"/>
  <c r="J41" i="3"/>
  <c r="L33" i="3" s="1"/>
  <c r="J39" i="3"/>
  <c r="L31" i="3" s="1"/>
  <c r="I38" i="3"/>
  <c r="D38" i="3"/>
  <c r="B46" i="3" s="1"/>
  <c r="B38" i="3"/>
  <c r="I37" i="3"/>
  <c r="W37" i="5" s="1"/>
  <c r="I36" i="3"/>
  <c r="I35" i="3"/>
  <c r="W27" i="5" s="1"/>
  <c r="I34" i="3"/>
  <c r="I33" i="3"/>
  <c r="W17" i="5" s="1"/>
  <c r="I32" i="3"/>
  <c r="I31" i="3"/>
  <c r="W7" i="5" s="1"/>
  <c r="I30" i="3"/>
  <c r="BN33" i="4" s="1"/>
  <c r="C30" i="3"/>
  <c r="C28" i="3"/>
  <c r="J23" i="3"/>
  <c r="C23" i="3"/>
  <c r="C77" i="3" s="1"/>
  <c r="J22" i="3"/>
  <c r="L14" i="3" s="1"/>
  <c r="BQ20" i="2" s="1"/>
  <c r="I22" i="3"/>
  <c r="J21" i="3"/>
  <c r="L13" i="3" s="1"/>
  <c r="I21" i="3"/>
  <c r="C36" i="5" s="1"/>
  <c r="J20" i="3"/>
  <c r="L12" i="3" s="1"/>
  <c r="AY20" i="2" s="1"/>
  <c r="I20" i="3"/>
  <c r="M12" i="3" s="1"/>
  <c r="J19" i="3"/>
  <c r="L11" i="3" s="1"/>
  <c r="I19" i="3"/>
  <c r="C26" i="5" s="1"/>
  <c r="D19" i="3"/>
  <c r="M27" i="3" s="1"/>
  <c r="J18" i="3"/>
  <c r="I18" i="3"/>
  <c r="J17" i="3"/>
  <c r="I17" i="3"/>
  <c r="C16" i="5" s="1"/>
  <c r="J16" i="3"/>
  <c r="I16" i="3"/>
  <c r="J15" i="3"/>
  <c r="L7" i="3" s="1"/>
  <c r="I15" i="3"/>
  <c r="C6" i="5" s="1"/>
  <c r="M14" i="3"/>
  <c r="I14" i="3"/>
  <c r="D14" i="3"/>
  <c r="B14" i="3"/>
  <c r="BN13" i="2" s="1"/>
  <c r="M13" i="3"/>
  <c r="I13" i="3"/>
  <c r="D13" i="3"/>
  <c r="C35" i="5" s="1"/>
  <c r="I12" i="3"/>
  <c r="D12" i="3"/>
  <c r="M11" i="3"/>
  <c r="I11" i="3"/>
  <c r="D11" i="3"/>
  <c r="C25" i="5" s="1"/>
  <c r="L10" i="3"/>
  <c r="AG20" i="2" s="1"/>
  <c r="I10" i="3"/>
  <c r="D10" i="3"/>
  <c r="L9" i="3"/>
  <c r="I9" i="3"/>
  <c r="D9" i="3"/>
  <c r="C15" i="5" s="1"/>
  <c r="M8" i="3"/>
  <c r="L8" i="3"/>
  <c r="I8" i="3"/>
  <c r="D8" i="3"/>
  <c r="J7" i="3"/>
  <c r="J61" i="3" s="1"/>
  <c r="L69" i="3" s="1"/>
  <c r="I7" i="3"/>
  <c r="D7" i="3"/>
  <c r="I68" i="3" s="1"/>
  <c r="C7" i="3"/>
  <c r="B81" i="2"/>
  <c r="B61" i="2"/>
  <c r="BN53" i="2"/>
  <c r="BR60" i="2" s="1"/>
  <c r="BD51" i="2"/>
  <c r="BM46" i="2"/>
  <c r="BN43" i="2"/>
  <c r="BR50" i="2" s="1"/>
  <c r="BD31" i="2"/>
  <c r="O20" i="2"/>
  <c r="BM16" i="2"/>
  <c r="AU16" i="2"/>
  <c r="AC16" i="2"/>
  <c r="K16" i="2"/>
  <c r="BE13" i="2"/>
  <c r="AV13" i="2"/>
  <c r="AM13" i="2"/>
  <c r="AD13" i="2"/>
  <c r="U13" i="2"/>
  <c r="L13" i="2"/>
  <c r="C13" i="2"/>
  <c r="BD11" i="2"/>
  <c r="BE20" i="5" l="1"/>
  <c r="AK20" i="5"/>
  <c r="Q22" i="5"/>
  <c r="Q20" i="5"/>
  <c r="J20" i="4"/>
  <c r="H30" i="4"/>
  <c r="H6" i="4"/>
  <c r="BD21" i="2"/>
  <c r="BD41" i="2"/>
  <c r="B71" i="2"/>
  <c r="B91" i="2"/>
  <c r="T11" i="2"/>
  <c r="T21" i="2"/>
  <c r="T31" i="2"/>
  <c r="T41" i="2"/>
  <c r="T51" i="2"/>
  <c r="AL61" i="2"/>
  <c r="AL71" i="2"/>
  <c r="AL81" i="2"/>
  <c r="AL91" i="2"/>
  <c r="B11" i="2"/>
  <c r="AL11" i="2"/>
  <c r="B21" i="2"/>
  <c r="AL21" i="2"/>
  <c r="B31" i="2"/>
  <c r="AL31" i="2"/>
  <c r="B41" i="2"/>
  <c r="AL41" i="2"/>
  <c r="B51" i="2"/>
  <c r="AL51" i="2"/>
  <c r="T61" i="2"/>
  <c r="BD61" i="2"/>
  <c r="T71" i="2"/>
  <c r="BD71" i="2"/>
  <c r="T81" i="2"/>
  <c r="BD81" i="2"/>
  <c r="T91" i="2"/>
  <c r="H16" i="4"/>
  <c r="BU26" i="4"/>
  <c r="BU27" i="4"/>
  <c r="H28" i="4"/>
  <c r="L7" i="5"/>
  <c r="N7" i="5" s="1"/>
  <c r="P7" i="5" s="1"/>
  <c r="R7" i="5" s="1"/>
  <c r="Q11" i="5"/>
  <c r="BE11" i="5"/>
  <c r="AK10" i="5"/>
  <c r="Q10" i="5"/>
  <c r="BE10" i="5"/>
  <c r="AK16" i="5"/>
  <c r="AK21" i="5"/>
  <c r="L21" i="5"/>
  <c r="N21" i="5" s="1"/>
  <c r="P21" i="5" s="1"/>
  <c r="R21" i="5" s="1"/>
  <c r="AZ21" i="5"/>
  <c r="Q26" i="5"/>
  <c r="AK27" i="5"/>
  <c r="BE26" i="5"/>
  <c r="Q27" i="5"/>
  <c r="BE27" i="5"/>
  <c r="AK31" i="5"/>
  <c r="AK36" i="5"/>
  <c r="L36" i="5"/>
  <c r="N36" i="5" s="1"/>
  <c r="P36" i="5" s="1"/>
  <c r="AZ36" i="5"/>
  <c r="BB36" i="5" s="1"/>
  <c r="AG37" i="5"/>
  <c r="AK7" i="5"/>
  <c r="AF7" i="5"/>
  <c r="AH7" i="5" s="1"/>
  <c r="AJ7" i="5" s="1"/>
  <c r="H8" i="4"/>
  <c r="BV8" i="4"/>
  <c r="H11" i="4"/>
  <c r="BV17" i="4"/>
  <c r="BU20" i="4"/>
  <c r="H22" i="4"/>
  <c r="BV29" i="4"/>
  <c r="CD31" i="4"/>
  <c r="BV31" i="4"/>
  <c r="AZ7" i="5"/>
  <c r="BB7" i="5" s="1"/>
  <c r="BD7" i="5" s="1"/>
  <c r="BF7" i="5" s="1"/>
  <c r="L11" i="5"/>
  <c r="N11" i="5" s="1"/>
  <c r="P11" i="5" s="1"/>
  <c r="R11" i="5" s="1"/>
  <c r="AZ11" i="5"/>
  <c r="Q16" i="5"/>
  <c r="AK17" i="5"/>
  <c r="BE16" i="5"/>
  <c r="Q17" i="5"/>
  <c r="BE17" i="5"/>
  <c r="AK26" i="5"/>
  <c r="Q31" i="5"/>
  <c r="AK32" i="5"/>
  <c r="BE31" i="5"/>
  <c r="Q32" i="5"/>
  <c r="AK30" i="5"/>
  <c r="BE32" i="5"/>
  <c r="L32" i="5"/>
  <c r="N32" i="5" s="1"/>
  <c r="P32" i="5" s="1"/>
  <c r="AZ32" i="5"/>
  <c r="BB32" i="5" s="1"/>
  <c r="BD32" i="5" s="1"/>
  <c r="BF32" i="5" s="1"/>
  <c r="J26" i="4"/>
  <c r="BV7" i="4"/>
  <c r="BU7" i="4"/>
  <c r="BU8" i="4"/>
  <c r="BU31" i="4"/>
  <c r="AF16" i="5"/>
  <c r="AK15" i="5"/>
  <c r="L17" i="5"/>
  <c r="N17" i="5" s="1"/>
  <c r="P17" i="5" s="1"/>
  <c r="R17" i="5" s="1"/>
  <c r="Q15" i="5"/>
  <c r="AF17" i="5"/>
  <c r="AH17" i="5" s="1"/>
  <c r="AJ17" i="5" s="1"/>
  <c r="AL17" i="5" s="1"/>
  <c r="AZ17" i="5"/>
  <c r="BE15" i="5"/>
  <c r="AF26" i="5"/>
  <c r="AH26" i="5" s="1"/>
  <c r="AJ26" i="5" s="1"/>
  <c r="AK25" i="5"/>
  <c r="L27" i="5"/>
  <c r="N27" i="5" s="1"/>
  <c r="P27" i="5" s="1"/>
  <c r="R27" i="5" s="1"/>
  <c r="Q25" i="5"/>
  <c r="AF27" i="5"/>
  <c r="AH27" i="5" s="1"/>
  <c r="AJ27" i="5" s="1"/>
  <c r="AL27" i="5" s="1"/>
  <c r="AZ27" i="5"/>
  <c r="BB27" i="5" s="1"/>
  <c r="BD27" i="5" s="1"/>
  <c r="BE25" i="5"/>
  <c r="AF32" i="5"/>
  <c r="AH32" i="5" s="1"/>
  <c r="AJ32" i="5" s="1"/>
  <c r="AL32" i="5" s="1"/>
  <c r="BU6" i="4"/>
  <c r="BU17" i="4"/>
  <c r="BV18" i="4"/>
  <c r="BV26" i="4"/>
  <c r="BU29" i="4"/>
  <c r="CD32" i="4"/>
  <c r="H32" i="4"/>
  <c r="AF5" i="5"/>
  <c r="AH5" i="5" s="1"/>
  <c r="AJ5" i="5" s="1"/>
  <c r="AK6" i="5"/>
  <c r="AK12" i="5"/>
  <c r="AK22" i="5"/>
  <c r="J9" i="4"/>
  <c r="T9" i="4" s="1"/>
  <c r="CD18" i="4"/>
  <c r="J18" i="4"/>
  <c r="L18" i="4" s="1"/>
  <c r="BU28" i="4"/>
  <c r="BU32" i="4"/>
  <c r="BV32" i="4"/>
  <c r="L5" i="5"/>
  <c r="N5" i="5" s="1"/>
  <c r="P5" i="5" s="1"/>
  <c r="AZ5" i="5"/>
  <c r="BB5" i="5" s="1"/>
  <c r="Q5" i="5"/>
  <c r="Q6" i="5"/>
  <c r="AK5" i="5"/>
  <c r="BE5" i="5"/>
  <c r="BE6" i="5"/>
  <c r="AF11" i="5"/>
  <c r="L12" i="5"/>
  <c r="N12" i="5" s="1"/>
  <c r="P12" i="5" s="1"/>
  <c r="R12" i="5" s="1"/>
  <c r="AF12" i="5"/>
  <c r="AH12" i="5" s="1"/>
  <c r="AZ12" i="5"/>
  <c r="BB12" i="5" s="1"/>
  <c r="BD12" i="5" s="1"/>
  <c r="BF12" i="5" s="1"/>
  <c r="L16" i="5"/>
  <c r="N16" i="5" s="1"/>
  <c r="AZ16" i="5"/>
  <c r="BB16" i="5" s="1"/>
  <c r="BD16" i="5" s="1"/>
  <c r="AF21" i="5"/>
  <c r="AH21" i="5" s="1"/>
  <c r="L22" i="5"/>
  <c r="N22" i="5" s="1"/>
  <c r="P22" i="5" s="1"/>
  <c r="R22" i="5" s="1"/>
  <c r="AF22" i="5"/>
  <c r="AH22" i="5" s="1"/>
  <c r="AJ22" i="5" s="1"/>
  <c r="AL22" i="5" s="1"/>
  <c r="AZ22" i="5"/>
  <c r="BB22" i="5" s="1"/>
  <c r="BD22" i="5" s="1"/>
  <c r="BF22" i="5" s="1"/>
  <c r="L26" i="5"/>
  <c r="N26" i="5" s="1"/>
  <c r="P26" i="5" s="1"/>
  <c r="AZ26" i="5"/>
  <c r="Q30" i="5"/>
  <c r="BE30" i="5"/>
  <c r="AF36" i="5"/>
  <c r="AH36" i="5" s="1"/>
  <c r="M45" i="3"/>
  <c r="M41" i="3"/>
  <c r="AG34" i="4"/>
  <c r="M39" i="3"/>
  <c r="M34" i="4"/>
  <c r="BA34" i="4"/>
  <c r="D29" i="3"/>
  <c r="AZ20" i="2"/>
  <c r="D27" i="3"/>
  <c r="M9" i="3"/>
  <c r="D25" i="3"/>
  <c r="P20" i="2"/>
  <c r="J14" i="3"/>
  <c r="L22" i="3" s="1"/>
  <c r="L15" i="3"/>
  <c r="J27" i="3"/>
  <c r="J49" i="3"/>
  <c r="J53" i="3"/>
  <c r="J57" i="3"/>
  <c r="L65" i="3" s="1"/>
  <c r="AD9" i="5"/>
  <c r="AD14" i="5"/>
  <c r="AD19" i="5"/>
  <c r="J24" i="5"/>
  <c r="AX24" i="5"/>
  <c r="AD39" i="5"/>
  <c r="C24" i="3"/>
  <c r="C26" i="3"/>
  <c r="J43" i="3"/>
  <c r="L35" i="3" s="1"/>
  <c r="J45" i="3"/>
  <c r="L37" i="3" s="1"/>
  <c r="C48" i="3"/>
  <c r="C50" i="3"/>
  <c r="J65" i="3"/>
  <c r="L57" i="3" s="1"/>
  <c r="J69" i="3"/>
  <c r="L61" i="3" s="1"/>
  <c r="C72" i="3"/>
  <c r="C78" i="3"/>
  <c r="H39" i="5"/>
  <c r="AB39" i="5"/>
  <c r="AV39" i="5"/>
  <c r="U24" i="4"/>
  <c r="AO24" i="4"/>
  <c r="BI24" i="4"/>
  <c r="K24" i="4"/>
  <c r="AE24" i="4"/>
  <c r="AY24" i="4"/>
  <c r="BQ60" i="2"/>
  <c r="BQ50" i="2"/>
  <c r="BM56" i="2"/>
  <c r="BR80" i="2"/>
  <c r="BQ80" i="2"/>
  <c r="BM76" i="2"/>
  <c r="D41" i="3"/>
  <c r="W15" i="5" s="1"/>
  <c r="D45" i="3"/>
  <c r="W35" i="5" s="1"/>
  <c r="I56" i="3"/>
  <c r="D63" i="3"/>
  <c r="I64" i="3"/>
  <c r="D72" i="3" s="1"/>
  <c r="D67" i="3"/>
  <c r="M24" i="4"/>
  <c r="W24" i="4"/>
  <c r="AG24" i="4"/>
  <c r="AQ24" i="4"/>
  <c r="BA24" i="4"/>
  <c r="W34" i="4"/>
  <c r="AQ34" i="4"/>
  <c r="F16" i="2"/>
  <c r="F15" i="2"/>
  <c r="Y20" i="2"/>
  <c r="X16" i="2"/>
  <c r="AQ20" i="2"/>
  <c r="AP16" i="2"/>
  <c r="BI20" i="2"/>
  <c r="BH16" i="2"/>
  <c r="B15" i="2"/>
  <c r="AL15" i="2"/>
  <c r="B16" i="2"/>
  <c r="T16" i="2"/>
  <c r="AL16" i="2"/>
  <c r="BD16" i="2"/>
  <c r="F20" i="2"/>
  <c r="X20" i="2"/>
  <c r="AP20" i="2"/>
  <c r="BH20" i="2"/>
  <c r="BR20" i="2"/>
  <c r="BQ16" i="2"/>
  <c r="BQ15" i="2"/>
  <c r="C69" i="3"/>
  <c r="L77" i="3" s="1"/>
  <c r="C67" i="3"/>
  <c r="L75" i="3" s="1"/>
  <c r="C65" i="3"/>
  <c r="L73" i="3" s="1"/>
  <c r="C63" i="3"/>
  <c r="L71" i="3" s="1"/>
  <c r="C61" i="3"/>
  <c r="C59" i="3"/>
  <c r="C57" i="3"/>
  <c r="C55" i="3"/>
  <c r="C45" i="3"/>
  <c r="L53" i="3" s="1"/>
  <c r="C43" i="3"/>
  <c r="L51" i="3" s="1"/>
  <c r="C41" i="3"/>
  <c r="L49" i="3" s="1"/>
  <c r="C39" i="3"/>
  <c r="L47" i="3" s="1"/>
  <c r="C37" i="3"/>
  <c r="C35" i="3"/>
  <c r="C33" i="3"/>
  <c r="C31" i="3"/>
  <c r="L23" i="3"/>
  <c r="C21" i="3"/>
  <c r="C19" i="3"/>
  <c r="C17" i="3"/>
  <c r="C7" i="5"/>
  <c r="I23" i="3"/>
  <c r="C8" i="3"/>
  <c r="C12" i="5"/>
  <c r="M16" i="3"/>
  <c r="C9" i="3"/>
  <c r="L25" i="3" s="1"/>
  <c r="C17" i="5"/>
  <c r="I25" i="3"/>
  <c r="C10" i="3"/>
  <c r="C22" i="5"/>
  <c r="M18" i="3"/>
  <c r="C11" i="3"/>
  <c r="L27" i="3" s="1"/>
  <c r="C27" i="5"/>
  <c r="I27" i="3"/>
  <c r="C12" i="3"/>
  <c r="C32" i="5"/>
  <c r="M20" i="3"/>
  <c r="C13" i="3"/>
  <c r="L29" i="3" s="1"/>
  <c r="C37" i="5"/>
  <c r="I29" i="3"/>
  <c r="C40" i="5"/>
  <c r="H42" i="5" s="1"/>
  <c r="Q41" i="5" s="1"/>
  <c r="D22" i="3"/>
  <c r="C15" i="3"/>
  <c r="C16" i="3"/>
  <c r="M17" i="3"/>
  <c r="C21" i="5"/>
  <c r="D26" i="3"/>
  <c r="C20" i="3"/>
  <c r="M21" i="3"/>
  <c r="C41" i="5"/>
  <c r="D30" i="3"/>
  <c r="I26" i="3"/>
  <c r="W12" i="5"/>
  <c r="M40" i="3"/>
  <c r="W22" i="5"/>
  <c r="M42" i="3"/>
  <c r="W32" i="5"/>
  <c r="M44" i="3"/>
  <c r="C38" i="3"/>
  <c r="BO33" i="4"/>
  <c r="W42" i="5"/>
  <c r="M46" i="3"/>
  <c r="C40" i="3"/>
  <c r="L48" i="3" s="1"/>
  <c r="W21" i="5"/>
  <c r="D50" i="3"/>
  <c r="M34" i="3"/>
  <c r="C44" i="3"/>
  <c r="L52" i="3" s="1"/>
  <c r="I48" i="3"/>
  <c r="I52" i="3"/>
  <c r="AQ12" i="5"/>
  <c r="M64" i="3"/>
  <c r="C58" i="3"/>
  <c r="AQ32" i="5"/>
  <c r="M68" i="3"/>
  <c r="AQ11" i="5"/>
  <c r="M56" i="3"/>
  <c r="C66" i="3"/>
  <c r="L74" i="3" s="1"/>
  <c r="AQ31" i="5"/>
  <c r="D76" i="3"/>
  <c r="M60" i="3"/>
  <c r="C70" i="3"/>
  <c r="L78" i="3" s="1"/>
  <c r="AQ41" i="5"/>
  <c r="BQ23" i="4"/>
  <c r="AR22" i="4"/>
  <c r="BQ21" i="4"/>
  <c r="BQ22" i="4"/>
  <c r="AR23" i="4"/>
  <c r="AR21" i="4"/>
  <c r="D78" i="3"/>
  <c r="M62" i="3"/>
  <c r="B1" i="6"/>
  <c r="A1" i="5"/>
  <c r="AR25" i="4"/>
  <c r="X25" i="4"/>
  <c r="F25" i="4"/>
  <c r="AR15" i="4"/>
  <c r="X15" i="4"/>
  <c r="F15" i="4"/>
  <c r="BZ12" i="4"/>
  <c r="BZ10" i="4"/>
  <c r="BZ8" i="4"/>
  <c r="BZ13" i="4"/>
  <c r="BZ11" i="4"/>
  <c r="BZ9" i="4"/>
  <c r="BZ7" i="4"/>
  <c r="CI6" i="4"/>
  <c r="BB5" i="4"/>
  <c r="T6" i="4"/>
  <c r="AD6" i="4" s="1"/>
  <c r="AN6" i="4" s="1"/>
  <c r="P6" i="4"/>
  <c r="AF6" i="4"/>
  <c r="AJ6" i="4"/>
  <c r="K1" i="2"/>
  <c r="K11" i="2"/>
  <c r="AC11" i="2"/>
  <c r="AU11" i="2"/>
  <c r="BM11" i="2"/>
  <c r="O16" i="2"/>
  <c r="AG16" i="2"/>
  <c r="AY16" i="2"/>
  <c r="K21" i="2"/>
  <c r="AC21" i="2"/>
  <c r="AU21" i="2"/>
  <c r="BM21" i="2"/>
  <c r="K31" i="2"/>
  <c r="AC31" i="2"/>
  <c r="AU31" i="2"/>
  <c r="BM31" i="2"/>
  <c r="K41" i="2"/>
  <c r="AC41" i="2"/>
  <c r="AU41" i="2"/>
  <c r="BM41" i="2"/>
  <c r="BQ45" i="2"/>
  <c r="BQ46" i="2"/>
  <c r="K51" i="2"/>
  <c r="AC51" i="2"/>
  <c r="AU51" i="2"/>
  <c r="BM51" i="2"/>
  <c r="BQ55" i="2"/>
  <c r="BQ56" i="2"/>
  <c r="K61" i="2"/>
  <c r="AC61" i="2"/>
  <c r="AU61" i="2"/>
  <c r="BM61" i="2"/>
  <c r="K71" i="2"/>
  <c r="AC71" i="2"/>
  <c r="AU71" i="2"/>
  <c r="BM71" i="2"/>
  <c r="BQ75" i="2"/>
  <c r="BQ76" i="2"/>
  <c r="K81" i="2"/>
  <c r="AC81" i="2"/>
  <c r="AU81" i="2"/>
  <c r="BM81" i="2"/>
  <c r="K91" i="2"/>
  <c r="AC91" i="2"/>
  <c r="AU91" i="2"/>
  <c r="BM91" i="2"/>
  <c r="C5" i="5"/>
  <c r="I69" i="3"/>
  <c r="D68" i="3"/>
  <c r="I67" i="3"/>
  <c r="D66" i="3"/>
  <c r="I65" i="3"/>
  <c r="D64" i="3"/>
  <c r="I63" i="3"/>
  <c r="I61" i="3"/>
  <c r="I59" i="3"/>
  <c r="I57" i="3"/>
  <c r="I55" i="3"/>
  <c r="I45" i="3"/>
  <c r="D44" i="3"/>
  <c r="I43" i="3"/>
  <c r="D42" i="3"/>
  <c r="I41" i="3"/>
  <c r="D40" i="3"/>
  <c r="I39" i="3"/>
  <c r="J78" i="3"/>
  <c r="J76" i="3"/>
  <c r="J74" i="3"/>
  <c r="J72" i="3"/>
  <c r="J62" i="3"/>
  <c r="L70" i="3" s="1"/>
  <c r="J60" i="3"/>
  <c r="L68" i="3" s="1"/>
  <c r="J58" i="3"/>
  <c r="L66" i="3" s="1"/>
  <c r="J56" i="3"/>
  <c r="L64" i="3" s="1"/>
  <c r="J54" i="3"/>
  <c r="J52" i="3"/>
  <c r="J50" i="3"/>
  <c r="J48" i="3"/>
  <c r="J38" i="3"/>
  <c r="L46" i="3" s="1"/>
  <c r="J36" i="3"/>
  <c r="L44" i="3" s="1"/>
  <c r="J34" i="3"/>
  <c r="L42" i="3" s="1"/>
  <c r="J32" i="3"/>
  <c r="L40" i="3" s="1"/>
  <c r="J30" i="3"/>
  <c r="J28" i="3"/>
  <c r="J26" i="3"/>
  <c r="J24" i="3"/>
  <c r="M7" i="3"/>
  <c r="G20" i="2" s="1"/>
  <c r="C10" i="5"/>
  <c r="D16" i="3"/>
  <c r="M24" i="3" s="1"/>
  <c r="J8" i="3"/>
  <c r="L16" i="3" s="1"/>
  <c r="J9" i="3"/>
  <c r="L17" i="3" s="1"/>
  <c r="C20" i="5"/>
  <c r="D18" i="3"/>
  <c r="M26" i="3" s="1"/>
  <c r="J10" i="3"/>
  <c r="L18" i="3" s="1"/>
  <c r="M10" i="3"/>
  <c r="AH20" i="2" s="1"/>
  <c r="J11" i="3"/>
  <c r="L19" i="3" s="1"/>
  <c r="C30" i="5"/>
  <c r="D20" i="3"/>
  <c r="M28" i="3" s="1"/>
  <c r="J12" i="3"/>
  <c r="L20" i="3" s="1"/>
  <c r="J13" i="3"/>
  <c r="L21" i="3" s="1"/>
  <c r="C14" i="3"/>
  <c r="C42" i="5"/>
  <c r="BM33" i="4"/>
  <c r="M22" i="3"/>
  <c r="B15" i="3"/>
  <c r="D15" i="3"/>
  <c r="M23" i="3" s="1"/>
  <c r="M15" i="3"/>
  <c r="C11" i="5"/>
  <c r="D24" i="3"/>
  <c r="D17" i="3"/>
  <c r="M25" i="3" s="1"/>
  <c r="C18" i="3"/>
  <c r="M19" i="3"/>
  <c r="C31" i="5"/>
  <c r="D28" i="3"/>
  <c r="D21" i="3"/>
  <c r="M29" i="3" s="1"/>
  <c r="C22" i="3"/>
  <c r="D23" i="3"/>
  <c r="I24" i="3"/>
  <c r="J25" i="3"/>
  <c r="I28" i="3"/>
  <c r="J29" i="3"/>
  <c r="J31" i="3"/>
  <c r="L39" i="3" s="1"/>
  <c r="C32" i="3"/>
  <c r="D33" i="3"/>
  <c r="J33" i="3"/>
  <c r="L41" i="3" s="1"/>
  <c r="C34" i="3"/>
  <c r="J35" i="3"/>
  <c r="L43" i="3" s="1"/>
  <c r="C36" i="3"/>
  <c r="J37" i="3"/>
  <c r="L45" i="3" s="1"/>
  <c r="D39" i="3"/>
  <c r="I40" i="3"/>
  <c r="C42" i="3"/>
  <c r="L50" i="3" s="1"/>
  <c r="D43" i="3"/>
  <c r="I44" i="3"/>
  <c r="C46" i="3"/>
  <c r="L54" i="3" s="1"/>
  <c r="BO23" i="4"/>
  <c r="X22" i="4"/>
  <c r="W41" i="5"/>
  <c r="X23" i="4"/>
  <c r="BO22" i="4"/>
  <c r="D54" i="3"/>
  <c r="M38" i="3"/>
  <c r="J47" i="3"/>
  <c r="M49" i="3"/>
  <c r="I50" i="3"/>
  <c r="J51" i="3"/>
  <c r="M53" i="3"/>
  <c r="I54" i="3"/>
  <c r="BP33" i="4" s="1"/>
  <c r="J55" i="3"/>
  <c r="L63" i="3" s="1"/>
  <c r="C56" i="3"/>
  <c r="I58" i="3"/>
  <c r="J59" i="3"/>
  <c r="L67" i="3" s="1"/>
  <c r="C60" i="3"/>
  <c r="C62" i="3"/>
  <c r="AQ42" i="5"/>
  <c r="M70" i="3"/>
  <c r="C64" i="3"/>
  <c r="L72" i="3" s="1"/>
  <c r="D65" i="3"/>
  <c r="I66" i="3"/>
  <c r="C68" i="3"/>
  <c r="L76" i="3" s="1"/>
  <c r="D69" i="3"/>
  <c r="I72" i="3"/>
  <c r="J73" i="3"/>
  <c r="M75" i="3"/>
  <c r="I76" i="3"/>
  <c r="J77" i="3"/>
  <c r="CD6" i="4"/>
  <c r="Q6" i="4"/>
  <c r="AK6" i="4"/>
  <c r="BE6" i="4"/>
  <c r="BV6" i="4"/>
  <c r="BZ6" i="4"/>
  <c r="Z7" i="4"/>
  <c r="AT7" i="4"/>
  <c r="T8" i="4"/>
  <c r="V8" i="4" s="1"/>
  <c r="P8" i="4"/>
  <c r="R8" i="4" s="1"/>
  <c r="AB8" i="4" s="1"/>
  <c r="AL8" i="4" s="1"/>
  <c r="AV8" i="4" s="1"/>
  <c r="BF8" i="4" s="1"/>
  <c r="BD6" i="4"/>
  <c r="BT6" i="4"/>
  <c r="J7" i="4"/>
  <c r="T7" i="4" s="1"/>
  <c r="AD7" i="4" s="1"/>
  <c r="H7" i="4"/>
  <c r="L7" i="4"/>
  <c r="CD7" i="4"/>
  <c r="C25" i="3"/>
  <c r="C27" i="3"/>
  <c r="C29" i="3"/>
  <c r="J40" i="3"/>
  <c r="L32" i="3" s="1"/>
  <c r="J42" i="3"/>
  <c r="L34" i="3" s="1"/>
  <c r="J44" i="3"/>
  <c r="L36" i="3" s="1"/>
  <c r="W40" i="5"/>
  <c r="BP13" i="4"/>
  <c r="X13" i="4"/>
  <c r="BO12" i="4"/>
  <c r="AH12" i="4"/>
  <c r="BP11" i="4"/>
  <c r="X11" i="4"/>
  <c r="AH13" i="4"/>
  <c r="BP12" i="4"/>
  <c r="BO11" i="4"/>
  <c r="J46" i="3"/>
  <c r="L38" i="3" s="1"/>
  <c r="C47" i="3"/>
  <c r="I47" i="3"/>
  <c r="C49" i="3"/>
  <c r="I49" i="3"/>
  <c r="C51" i="3"/>
  <c r="I51" i="3"/>
  <c r="C53" i="3"/>
  <c r="I53" i="3"/>
  <c r="M54" i="3"/>
  <c r="AR13" i="4"/>
  <c r="BQ12" i="4"/>
  <c r="AR11" i="4"/>
  <c r="BQ10" i="4"/>
  <c r="AR12" i="4"/>
  <c r="J64" i="3"/>
  <c r="L56" i="3" s="1"/>
  <c r="J66" i="3"/>
  <c r="L58" i="3" s="1"/>
  <c r="J68" i="3"/>
  <c r="L60" i="3" s="1"/>
  <c r="B70" i="3"/>
  <c r="BN83" i="2" s="1"/>
  <c r="AQ40" i="5"/>
  <c r="BR13" i="4"/>
  <c r="BB12" i="4"/>
  <c r="BR11" i="4"/>
  <c r="BB10" i="4"/>
  <c r="BR9" i="4"/>
  <c r="AR9" i="4"/>
  <c r="BQ13" i="4"/>
  <c r="BB11" i="4"/>
  <c r="J70" i="3"/>
  <c r="L62" i="3" s="1"/>
  <c r="C71" i="3"/>
  <c r="C73" i="3"/>
  <c r="C75" i="3"/>
  <c r="M78" i="3"/>
  <c r="X5" i="4"/>
  <c r="BK14" i="4"/>
  <c r="BI14" i="4"/>
  <c r="BA14" i="4"/>
  <c r="AY14" i="4"/>
  <c r="AQ14" i="4"/>
  <c r="AO14" i="4"/>
  <c r="AG14" i="4"/>
  <c r="AE14" i="4"/>
  <c r="W14" i="4"/>
  <c r="U14" i="4"/>
  <c r="M14" i="4"/>
  <c r="K14" i="4"/>
  <c r="I6" i="4"/>
  <c r="L6" i="4"/>
  <c r="AA6" i="4"/>
  <c r="AU6" i="4"/>
  <c r="BY6" i="4"/>
  <c r="Q7" i="4"/>
  <c r="S7" i="4" s="1"/>
  <c r="AC7" i="4" s="1"/>
  <c r="AK7" i="4"/>
  <c r="BE7" i="4"/>
  <c r="BT7" i="4"/>
  <c r="I8" i="4"/>
  <c r="L8" i="4"/>
  <c r="AD8" i="4"/>
  <c r="AA8" i="4"/>
  <c r="AT8" i="4"/>
  <c r="P9" i="4"/>
  <c r="R9" i="4" s="1"/>
  <c r="AB9" i="4" s="1"/>
  <c r="AJ9" i="4"/>
  <c r="J10" i="4"/>
  <c r="T10" i="4" s="1"/>
  <c r="V10" i="4" s="1"/>
  <c r="H10" i="4"/>
  <c r="L10" i="4"/>
  <c r="Q11" i="4"/>
  <c r="X12" i="4"/>
  <c r="BR12" i="4"/>
  <c r="BB13" i="4"/>
  <c r="BO13" i="4"/>
  <c r="T16" i="4"/>
  <c r="AD16" i="4" s="1"/>
  <c r="P16" i="4"/>
  <c r="R16" i="4" s="1"/>
  <c r="Q16" i="4"/>
  <c r="AF16" i="4"/>
  <c r="BD16" i="4"/>
  <c r="BE16" i="4"/>
  <c r="BU16" i="4"/>
  <c r="BV16" i="4"/>
  <c r="BT16" i="4"/>
  <c r="CD8" i="4"/>
  <c r="Q9" i="4"/>
  <c r="AK9" i="4"/>
  <c r="BB9" i="4"/>
  <c r="BQ9" i="4"/>
  <c r="I10" i="4"/>
  <c r="AD10" i="4"/>
  <c r="Z10" i="4"/>
  <c r="AR10" i="4"/>
  <c r="BR10" i="4"/>
  <c r="BU10" i="4" s="1"/>
  <c r="T11" i="4"/>
  <c r="V11" i="4" s="1"/>
  <c r="P11" i="4"/>
  <c r="R11" i="4" s="1"/>
  <c r="AH11" i="4"/>
  <c r="BQ11" i="4"/>
  <c r="T13" i="4"/>
  <c r="R13" i="4"/>
  <c r="P13" i="4"/>
  <c r="V13" i="4"/>
  <c r="Q13" i="4"/>
  <c r="AN16" i="4"/>
  <c r="AX16" i="4" s="1"/>
  <c r="AZ16" i="4" s="1"/>
  <c r="AJ16" i="4"/>
  <c r="AK16" i="4"/>
  <c r="J17" i="4"/>
  <c r="T17" i="4" s="1"/>
  <c r="V17" i="4" s="1"/>
  <c r="H17" i="4"/>
  <c r="CD17" i="4"/>
  <c r="I17" i="4"/>
  <c r="J12" i="4"/>
  <c r="T12" i="4" s="1"/>
  <c r="V12" i="4" s="1"/>
  <c r="H12" i="4"/>
  <c r="L12" i="4"/>
  <c r="BZ24" i="4"/>
  <c r="BZ23" i="4"/>
  <c r="BZ21" i="4"/>
  <c r="BZ19" i="4"/>
  <c r="BZ17" i="4"/>
  <c r="AH25" i="4"/>
  <c r="CD16" i="4"/>
  <c r="BZ16" i="4"/>
  <c r="AD17" i="4"/>
  <c r="Z17" i="4"/>
  <c r="AT17" i="4"/>
  <c r="T18" i="4"/>
  <c r="P18" i="4"/>
  <c r="R18" i="4" s="1"/>
  <c r="AB18" i="4" s="1"/>
  <c r="AJ18" i="4"/>
  <c r="BD18" i="4"/>
  <c r="BT18" i="4"/>
  <c r="J19" i="4"/>
  <c r="T19" i="4" s="1"/>
  <c r="V19" i="4" s="1"/>
  <c r="H19" i="4"/>
  <c r="L19" i="4"/>
  <c r="AA19" i="4"/>
  <c r="AU19" i="4"/>
  <c r="BV19" i="4"/>
  <c r="CD19" i="4"/>
  <c r="CD20" i="4"/>
  <c r="Q20" i="4"/>
  <c r="AK20" i="4"/>
  <c r="BE20" i="4"/>
  <c r="BV20" i="4"/>
  <c r="BZ20" i="4"/>
  <c r="Z21" i="4"/>
  <c r="T22" i="4"/>
  <c r="V22" i="4" s="1"/>
  <c r="P22" i="4"/>
  <c r="R22" i="4" s="1"/>
  <c r="J23" i="4"/>
  <c r="H23" i="4"/>
  <c r="L23" i="4"/>
  <c r="BY23" i="4"/>
  <c r="CD23" i="4"/>
  <c r="N25" i="4"/>
  <c r="T26" i="4"/>
  <c r="AD26" i="4" s="1"/>
  <c r="AF26" i="4" s="1"/>
  <c r="P26" i="4"/>
  <c r="R26" i="4" s="1"/>
  <c r="Q26" i="4"/>
  <c r="BD26" i="4"/>
  <c r="BE26" i="4"/>
  <c r="BZ18" i="4"/>
  <c r="AD19" i="4"/>
  <c r="AN19" i="4" s="1"/>
  <c r="AX19" i="4" s="1"/>
  <c r="BH19" i="4" s="1"/>
  <c r="BJ19" i="4" s="1"/>
  <c r="Z19" i="4"/>
  <c r="AP19" i="4"/>
  <c r="AT19" i="4"/>
  <c r="T20" i="4"/>
  <c r="AD20" i="4" s="1"/>
  <c r="AN20" i="4" s="1"/>
  <c r="P20" i="4"/>
  <c r="R20" i="4" s="1"/>
  <c r="AB20" i="4" s="1"/>
  <c r="AF20" i="4"/>
  <c r="AJ20" i="4"/>
  <c r="BD20" i="4"/>
  <c r="BT20" i="4"/>
  <c r="J21" i="4"/>
  <c r="T21" i="4" s="1"/>
  <c r="AD21" i="4" s="1"/>
  <c r="H21" i="4"/>
  <c r="L21" i="4"/>
  <c r="AA21" i="4"/>
  <c r="Q22" i="4"/>
  <c r="BZ22" i="4"/>
  <c r="I23" i="4"/>
  <c r="CF23" i="4"/>
  <c r="BB25" i="4"/>
  <c r="AJ26" i="4"/>
  <c r="AK26" i="4"/>
  <c r="BZ33" i="4"/>
  <c r="BZ31" i="4"/>
  <c r="BZ30" i="4"/>
  <c r="BZ29" i="4"/>
  <c r="BZ27" i="4"/>
  <c r="CD26" i="4"/>
  <c r="BZ26" i="4"/>
  <c r="AD27" i="4"/>
  <c r="AN27" i="4" s="1"/>
  <c r="AX27" i="4" s="1"/>
  <c r="Z27" i="4"/>
  <c r="AP27" i="4"/>
  <c r="AT27" i="4"/>
  <c r="T28" i="4"/>
  <c r="AD28" i="4" s="1"/>
  <c r="AF28" i="4" s="1"/>
  <c r="P28" i="4"/>
  <c r="R28" i="4" s="1"/>
  <c r="AB28" i="4" s="1"/>
  <c r="AN28" i="4"/>
  <c r="AX28" i="4" s="1"/>
  <c r="BH28" i="4" s="1"/>
  <c r="BJ28" i="4" s="1"/>
  <c r="AJ28" i="4"/>
  <c r="AZ28" i="4"/>
  <c r="BD28" i="4"/>
  <c r="BT28" i="4"/>
  <c r="J29" i="4"/>
  <c r="T29" i="4" s="1"/>
  <c r="AD29" i="4" s="1"/>
  <c r="H29" i="4"/>
  <c r="L29" i="4"/>
  <c r="CD29" i="4"/>
  <c r="AJ30" i="4"/>
  <c r="AK30" i="4"/>
  <c r="J31" i="4"/>
  <c r="H31" i="4"/>
  <c r="I31" i="4"/>
  <c r="AH11" i="5"/>
  <c r="AH16" i="5"/>
  <c r="AJ16" i="5" s="1"/>
  <c r="AL16" i="5" s="1"/>
  <c r="BB17" i="5"/>
  <c r="BT26" i="4"/>
  <c r="J27" i="4"/>
  <c r="T27" i="4" s="1"/>
  <c r="V27" i="4" s="1"/>
  <c r="H27" i="4"/>
  <c r="L27" i="4"/>
  <c r="AA27" i="4"/>
  <c r="AU27" i="4"/>
  <c r="BV27" i="4"/>
  <c r="CD27" i="4"/>
  <c r="CD28" i="4"/>
  <c r="Q28" i="4"/>
  <c r="AK28" i="4"/>
  <c r="AP28" i="4"/>
  <c r="BE28" i="4"/>
  <c r="BV28" i="4"/>
  <c r="BZ28" i="4"/>
  <c r="I29" i="4"/>
  <c r="V29" i="4"/>
  <c r="Z29" i="4"/>
  <c r="AT29" i="4"/>
  <c r="T30" i="4"/>
  <c r="AD30" i="4" s="1"/>
  <c r="AN30" i="4" s="1"/>
  <c r="P30" i="4"/>
  <c r="R30" i="4" s="1"/>
  <c r="AB30" i="4" s="1"/>
  <c r="AL30" i="4" s="1"/>
  <c r="AV30" i="4" s="1"/>
  <c r="BF30" i="4" s="1"/>
  <c r="Q30" i="4"/>
  <c r="BD30" i="4"/>
  <c r="BE30" i="4"/>
  <c r="BU30" i="4"/>
  <c r="BV30" i="4"/>
  <c r="BT30" i="4"/>
  <c r="BZ32" i="4"/>
  <c r="AD33" i="4"/>
  <c r="AB33" i="4"/>
  <c r="Z33" i="4"/>
  <c r="AF33" i="4"/>
  <c r="AA33" i="4"/>
  <c r="AX33" i="4"/>
  <c r="AV33" i="4"/>
  <c r="AT33" i="4"/>
  <c r="AZ33" i="4"/>
  <c r="AU33" i="4"/>
  <c r="L6" i="5"/>
  <c r="AF6" i="5"/>
  <c r="AZ6" i="5"/>
  <c r="L10" i="5"/>
  <c r="AK11" i="5"/>
  <c r="AF10" i="5"/>
  <c r="BB11" i="5"/>
  <c r="BD11" i="5" s="1"/>
  <c r="BB21" i="5"/>
  <c r="BD21" i="5" s="1"/>
  <c r="BF21" i="5" s="1"/>
  <c r="AZ10" i="5"/>
  <c r="BD17" i="5"/>
  <c r="L20" i="5"/>
  <c r="AF20" i="5"/>
  <c r="AZ20" i="5"/>
  <c r="BB26" i="5"/>
  <c r="BD26" i="5" s="1"/>
  <c r="L30" i="5"/>
  <c r="AF30" i="5"/>
  <c r="AZ30" i="5"/>
  <c r="L31" i="5"/>
  <c r="AF31" i="5"/>
  <c r="AZ31" i="5"/>
  <c r="AH41" i="5"/>
  <c r="AK8" i="4"/>
  <c r="BE8" i="4"/>
  <c r="BT8" i="4"/>
  <c r="I9" i="4"/>
  <c r="AA9" i="4"/>
  <c r="Q10" i="4"/>
  <c r="S10" i="4" s="1"/>
  <c r="AC10" i="4" s="1"/>
  <c r="AM10" i="4" s="1"/>
  <c r="AK10" i="4"/>
  <c r="BT10" i="4"/>
  <c r="I11" i="4"/>
  <c r="L11" i="4"/>
  <c r="Q12" i="4"/>
  <c r="S12" i="4" s="1"/>
  <c r="I13" i="4"/>
  <c r="BL13" i="4" s="1"/>
  <c r="BY13" i="4"/>
  <c r="CD13" i="4"/>
  <c r="I16" i="4"/>
  <c r="L16" i="4"/>
  <c r="AA16" i="4"/>
  <c r="AU16" i="4"/>
  <c r="BY16" i="4"/>
  <c r="Q17" i="4"/>
  <c r="S17" i="4" s="1"/>
  <c r="AC17" i="4" s="1"/>
  <c r="AM17" i="4" s="1"/>
  <c r="AW17" i="4" s="1"/>
  <c r="BG17" i="4" s="1"/>
  <c r="AK17" i="4"/>
  <c r="BE17" i="4"/>
  <c r="BT17" i="4"/>
  <c r="I18" i="4"/>
  <c r="AA18" i="4"/>
  <c r="AU18" i="4"/>
  <c r="Q19" i="4"/>
  <c r="S19" i="4" s="1"/>
  <c r="AC19" i="4" s="1"/>
  <c r="AK19" i="4"/>
  <c r="BE19" i="4"/>
  <c r="BT19" i="4"/>
  <c r="I20" i="4"/>
  <c r="L20" i="4"/>
  <c r="AA20" i="4"/>
  <c r="AU20" i="4"/>
  <c r="Q21" i="4"/>
  <c r="S21" i="4" s="1"/>
  <c r="AK21" i="4"/>
  <c r="I22" i="4"/>
  <c r="L22" i="4"/>
  <c r="Q23" i="4"/>
  <c r="S23" i="4"/>
  <c r="I26" i="4"/>
  <c r="L26" i="4"/>
  <c r="AA26" i="4"/>
  <c r="AU26" i="4"/>
  <c r="BY26" i="4"/>
  <c r="Q27" i="4"/>
  <c r="S27" i="4" s="1"/>
  <c r="AK27" i="4"/>
  <c r="BE27" i="4"/>
  <c r="BT27" i="4"/>
  <c r="I28" i="4"/>
  <c r="L28" i="4"/>
  <c r="AA28" i="4"/>
  <c r="AU28" i="4"/>
  <c r="Q29" i="4"/>
  <c r="S29" i="4" s="1"/>
  <c r="AC29" i="4" s="1"/>
  <c r="AK29" i="4"/>
  <c r="BE29" i="4"/>
  <c r="BT29" i="4"/>
  <c r="CD30" i="4"/>
  <c r="I30" i="4"/>
  <c r="L30" i="4"/>
  <c r="Z31" i="4"/>
  <c r="AT31" i="4"/>
  <c r="T32" i="4"/>
  <c r="P32" i="4"/>
  <c r="R32" i="4" s="1"/>
  <c r="AB32" i="4" s="1"/>
  <c r="AJ32" i="4"/>
  <c r="BD32" i="4"/>
  <c r="BT32" i="4"/>
  <c r="J33" i="4"/>
  <c r="H33" i="4"/>
  <c r="BL33" i="4" s="1"/>
  <c r="L33" i="4"/>
  <c r="CF33" i="4"/>
  <c r="K34" i="4"/>
  <c r="U34" i="4"/>
  <c r="AE34" i="4"/>
  <c r="AO34" i="4"/>
  <c r="AY34" i="4"/>
  <c r="BI34" i="4"/>
  <c r="AJ12" i="5"/>
  <c r="L15" i="5"/>
  <c r="AF15" i="5"/>
  <c r="AZ15" i="5"/>
  <c r="Q36" i="5"/>
  <c r="U39" i="5"/>
  <c r="AO39" i="5"/>
  <c r="AL42" i="5"/>
  <c r="AH42" i="5"/>
  <c r="AA30" i="4"/>
  <c r="AU30" i="4"/>
  <c r="Q31" i="4"/>
  <c r="S31" i="4" s="1"/>
  <c r="AC31" i="4" s="1"/>
  <c r="AK31" i="4"/>
  <c r="BE31" i="4"/>
  <c r="BT31" i="4"/>
  <c r="I32" i="4"/>
  <c r="L32" i="4"/>
  <c r="AA32" i="4"/>
  <c r="AU32" i="4"/>
  <c r="Q33" i="4"/>
  <c r="S33" i="4"/>
  <c r="AK33" i="4"/>
  <c r="AM33" i="4"/>
  <c r="BE33" i="4"/>
  <c r="BG33" i="4"/>
  <c r="AO35" i="5"/>
  <c r="U35" i="5"/>
  <c r="A35" i="5"/>
  <c r="AO30" i="5"/>
  <c r="U30" i="5"/>
  <c r="A30" i="5"/>
  <c r="AO25" i="5"/>
  <c r="U25" i="5"/>
  <c r="A25" i="5"/>
  <c r="M5" i="5"/>
  <c r="U5" i="5"/>
  <c r="AG5" i="5"/>
  <c r="AO5" i="5"/>
  <c r="BA5" i="5"/>
  <c r="BD5" i="5"/>
  <c r="BF5" i="5" s="1"/>
  <c r="AO36" i="5"/>
  <c r="U36" i="5"/>
  <c r="A36" i="5"/>
  <c r="AV34" i="5"/>
  <c r="AB34" i="5"/>
  <c r="H34" i="5"/>
  <c r="AO31" i="5"/>
  <c r="U31" i="5"/>
  <c r="A31" i="5"/>
  <c r="AV29" i="5"/>
  <c r="AB29" i="5"/>
  <c r="H29" i="5"/>
  <c r="AO26" i="5"/>
  <c r="U26" i="5"/>
  <c r="A26" i="5"/>
  <c r="AV24" i="5"/>
  <c r="AB24" i="5"/>
  <c r="H24" i="5"/>
  <c r="AO21" i="5"/>
  <c r="U21" i="5"/>
  <c r="A21" i="5"/>
  <c r="M6" i="5"/>
  <c r="U6" i="5"/>
  <c r="AG6" i="5"/>
  <c r="AO6" i="5"/>
  <c r="BA6" i="5"/>
  <c r="AO37" i="5"/>
  <c r="A37" i="5"/>
  <c r="AO32" i="5"/>
  <c r="U32" i="5"/>
  <c r="A32" i="5"/>
  <c r="AO27" i="5"/>
  <c r="U27" i="5"/>
  <c r="A27" i="5"/>
  <c r="AO22" i="5"/>
  <c r="U22" i="5"/>
  <c r="A22" i="5"/>
  <c r="M7" i="5"/>
  <c r="U7" i="5"/>
  <c r="AG7" i="5"/>
  <c r="AO7" i="5"/>
  <c r="BA7" i="5"/>
  <c r="H9" i="5"/>
  <c r="AB9" i="5"/>
  <c r="AV9" i="5"/>
  <c r="A10" i="5"/>
  <c r="M10" i="5"/>
  <c r="U10" i="5"/>
  <c r="AG10" i="5"/>
  <c r="AO10" i="5"/>
  <c r="BA10" i="5"/>
  <c r="A11" i="5"/>
  <c r="M11" i="5"/>
  <c r="U11" i="5"/>
  <c r="AG11" i="5"/>
  <c r="AJ11" i="5"/>
  <c r="AO11" i="5"/>
  <c r="BA11" i="5"/>
  <c r="A12" i="5"/>
  <c r="M12" i="5"/>
  <c r="U12" i="5"/>
  <c r="AG12" i="5"/>
  <c r="AO12" i="5"/>
  <c r="BA12" i="5"/>
  <c r="H14" i="5"/>
  <c r="AB14" i="5"/>
  <c r="AV14" i="5"/>
  <c r="A15" i="5"/>
  <c r="M15" i="5"/>
  <c r="U15" i="5"/>
  <c r="AG15" i="5"/>
  <c r="AO15" i="5"/>
  <c r="BA15" i="5"/>
  <c r="A16" i="5"/>
  <c r="M16" i="5"/>
  <c r="P16" i="5"/>
  <c r="U16" i="5"/>
  <c r="AG16" i="5"/>
  <c r="AO16" i="5"/>
  <c r="BA16" i="5"/>
  <c r="A17" i="5"/>
  <c r="M17" i="5"/>
  <c r="U17" i="5"/>
  <c r="AG17" i="5"/>
  <c r="AO17" i="5"/>
  <c r="BA17" i="5"/>
  <c r="H19" i="5"/>
  <c r="AB19" i="5"/>
  <c r="AV19" i="5"/>
  <c r="A20" i="5"/>
  <c r="M22" i="5"/>
  <c r="M21" i="5"/>
  <c r="M20" i="5"/>
  <c r="U20" i="5"/>
  <c r="AG22" i="5"/>
  <c r="AJ21" i="5"/>
  <c r="AG21" i="5"/>
  <c r="AG20" i="5"/>
  <c r="AO20" i="5"/>
  <c r="BA22" i="5"/>
  <c r="BA21" i="5"/>
  <c r="BA20" i="5"/>
  <c r="F24" i="5"/>
  <c r="AD24" i="5"/>
  <c r="AT24" i="5"/>
  <c r="L25" i="5"/>
  <c r="AF25" i="5"/>
  <c r="AZ25" i="5"/>
  <c r="J29" i="5"/>
  <c r="Z29" i="5"/>
  <c r="AX29" i="5"/>
  <c r="F34" i="5"/>
  <c r="AD34" i="5"/>
  <c r="AT34" i="5"/>
  <c r="L35" i="5"/>
  <c r="AF35" i="5"/>
  <c r="BE36" i="5"/>
  <c r="AZ35" i="5"/>
  <c r="N41" i="5"/>
  <c r="BB41" i="5"/>
  <c r="R42" i="5"/>
  <c r="N42" i="5"/>
  <c r="BF42" i="5"/>
  <c r="BB42" i="5"/>
  <c r="M25" i="5"/>
  <c r="AG25" i="5"/>
  <c r="BA25" i="5"/>
  <c r="M26" i="5"/>
  <c r="AG26" i="5"/>
  <c r="BA26" i="5"/>
  <c r="M27" i="5"/>
  <c r="AG27" i="5"/>
  <c r="BA27" i="5"/>
  <c r="M30" i="5"/>
  <c r="AG30" i="5"/>
  <c r="BA30" i="5"/>
  <c r="M31" i="5"/>
  <c r="AG31" i="5"/>
  <c r="BA31" i="5"/>
  <c r="M32" i="5"/>
  <c r="AG32" i="5"/>
  <c r="BA32" i="5"/>
  <c r="Q37" i="5"/>
  <c r="L37" i="5"/>
  <c r="M35" i="5"/>
  <c r="AK37" i="5"/>
  <c r="AF37" i="5"/>
  <c r="AG35" i="5"/>
  <c r="BE37" i="5"/>
  <c r="AZ37" i="5"/>
  <c r="BA35" i="5"/>
  <c r="M36" i="5"/>
  <c r="AG36" i="5"/>
  <c r="AJ36" i="5"/>
  <c r="BA36" i="5"/>
  <c r="BD36" i="5"/>
  <c r="M37" i="5"/>
  <c r="BA37" i="5"/>
  <c r="BF40" i="5"/>
  <c r="M40" i="5"/>
  <c r="P40" i="5"/>
  <c r="R40" i="5" s="1"/>
  <c r="U40" i="5"/>
  <c r="AG40" i="5"/>
  <c r="AJ40" i="5"/>
  <c r="AL40" i="5" s="1"/>
  <c r="BA40" i="5"/>
  <c r="BD40" i="5"/>
  <c r="M41" i="5"/>
  <c r="P41" i="5"/>
  <c r="R41" i="5" s="1"/>
  <c r="U41" i="5"/>
  <c r="AG41" i="5"/>
  <c r="AJ41" i="5"/>
  <c r="AL41" i="5" s="1"/>
  <c r="BA41" i="5"/>
  <c r="BD41" i="5"/>
  <c r="BF41" i="5" s="1"/>
  <c r="M42" i="5"/>
  <c r="U42" i="5"/>
  <c r="AG42" i="5"/>
  <c r="BA42" i="5"/>
  <c r="BF11" i="5" l="1"/>
  <c r="BF27" i="5"/>
  <c r="BF16" i="5"/>
  <c r="AL21" i="5"/>
  <c r="AM29" i="4"/>
  <c r="AW29" i="4" s="1"/>
  <c r="BG29" i="4" s="1"/>
  <c r="AL18" i="4"/>
  <c r="AV18" i="4" s="1"/>
  <c r="BF18" i="4" s="1"/>
  <c r="AM31" i="4"/>
  <c r="AW31" i="4" s="1"/>
  <c r="BG31" i="4" s="1"/>
  <c r="AC21" i="4"/>
  <c r="AL28" i="4"/>
  <c r="AV28" i="4" s="1"/>
  <c r="BF28" i="4" s="1"/>
  <c r="AM7" i="4"/>
  <c r="AW7" i="4" s="1"/>
  <c r="BG7" i="4" s="1"/>
  <c r="AM19" i="4"/>
  <c r="AW19" i="4" s="1"/>
  <c r="BG19" i="4" s="1"/>
  <c r="V16" i="4"/>
  <c r="V28" i="4"/>
  <c r="T24" i="4"/>
  <c r="R36" i="5"/>
  <c r="J34" i="4"/>
  <c r="AL36" i="5"/>
  <c r="BF26" i="5"/>
  <c r="AL26" i="5"/>
  <c r="R26" i="5"/>
  <c r="R32" i="5"/>
  <c r="R16" i="5"/>
  <c r="AL11" i="5"/>
  <c r="AL12" i="5"/>
  <c r="BF17" i="5"/>
  <c r="H34" i="4"/>
  <c r="E28" i="6" s="1"/>
  <c r="BT9" i="4"/>
  <c r="BV10" i="4"/>
  <c r="BT11" i="4"/>
  <c r="BV12" i="4"/>
  <c r="AL5" i="5"/>
  <c r="AL7" i="5"/>
  <c r="AD9" i="4"/>
  <c r="V9" i="4"/>
  <c r="AL32" i="4"/>
  <c r="AV32" i="4" s="1"/>
  <c r="BF32" i="4" s="1"/>
  <c r="AL9" i="4"/>
  <c r="AC27" i="4"/>
  <c r="AM27" i="4" s="1"/>
  <c r="AW27" i="4" s="1"/>
  <c r="BG27" i="4" s="1"/>
  <c r="J24" i="4"/>
  <c r="AM21" i="4"/>
  <c r="L9" i="4"/>
  <c r="AL20" i="4"/>
  <c r="AV20" i="4" s="1"/>
  <c r="BF20" i="4" s="1"/>
  <c r="V21" i="4"/>
  <c r="V6" i="4"/>
  <c r="R5" i="5"/>
  <c r="BF36" i="5"/>
  <c r="AT34" i="4"/>
  <c r="Z34" i="4"/>
  <c r="BU12" i="4"/>
  <c r="AY15" i="2"/>
  <c r="BT12" i="4"/>
  <c r="BW12" i="4" s="1"/>
  <c r="BU11" i="4"/>
  <c r="CD12" i="4"/>
  <c r="BT13" i="4"/>
  <c r="AQ25" i="5"/>
  <c r="D59" i="3"/>
  <c r="AQ5" i="5"/>
  <c r="D55" i="3"/>
  <c r="M71" i="3"/>
  <c r="D37" i="3"/>
  <c r="AX30" i="4"/>
  <c r="AP30" i="4"/>
  <c r="BH27" i="4"/>
  <c r="BJ27" i="4" s="1"/>
  <c r="AZ27" i="4"/>
  <c r="AN21" i="4"/>
  <c r="AP21" i="4" s="1"/>
  <c r="AF21" i="4"/>
  <c r="AX20" i="4"/>
  <c r="AP20" i="4"/>
  <c r="AB26" i="4"/>
  <c r="AN7" i="4"/>
  <c r="AF7" i="4"/>
  <c r="AX6" i="4"/>
  <c r="AP6" i="4"/>
  <c r="AN29" i="4"/>
  <c r="AF29" i="4"/>
  <c r="AH37" i="5"/>
  <c r="AJ37" i="5" s="1"/>
  <c r="AL37" i="5" s="1"/>
  <c r="BB35" i="5"/>
  <c r="BD35" i="5" s="1"/>
  <c r="BF35" i="5" s="1"/>
  <c r="AH35" i="5"/>
  <c r="AJ35" i="5" s="1"/>
  <c r="AL35" i="5" s="1"/>
  <c r="AH25" i="5"/>
  <c r="AJ25" i="5" s="1"/>
  <c r="AL25" i="5" s="1"/>
  <c r="CA31" i="4"/>
  <c r="BW31" i="4"/>
  <c r="AH15" i="5"/>
  <c r="AJ15" i="5" s="1"/>
  <c r="AL15" i="5" s="1"/>
  <c r="AM15" i="5" s="1"/>
  <c r="CA32" i="4"/>
  <c r="BW32" i="4"/>
  <c r="V32" i="4"/>
  <c r="AD32" i="4"/>
  <c r="CA29" i="4"/>
  <c r="BW29" i="4"/>
  <c r="AU34" i="4"/>
  <c r="AA34" i="4"/>
  <c r="I34" i="4"/>
  <c r="H28" i="6" s="1"/>
  <c r="CA19" i="4"/>
  <c r="BW19" i="4"/>
  <c r="I24" i="4"/>
  <c r="S16" i="4"/>
  <c r="CA12" i="4"/>
  <c r="CA8" i="4"/>
  <c r="BW8" i="4"/>
  <c r="AH31" i="5"/>
  <c r="AJ31" i="5" s="1"/>
  <c r="AL31" i="5" s="1"/>
  <c r="BB30" i="5"/>
  <c r="BD30" i="5" s="1"/>
  <c r="BF30" i="5" s="1"/>
  <c r="N30" i="5"/>
  <c r="P30" i="5" s="1"/>
  <c r="R30" i="5" s="1"/>
  <c r="AH20" i="5"/>
  <c r="AJ20" i="5" s="1"/>
  <c r="AL20" i="5" s="1"/>
  <c r="AH10" i="5"/>
  <c r="AJ10" i="5" s="1"/>
  <c r="AL10" i="5" s="1"/>
  <c r="N10" i="5"/>
  <c r="P10" i="5" s="1"/>
  <c r="R10" i="5" s="1"/>
  <c r="AH6" i="5"/>
  <c r="AJ6" i="5" s="1"/>
  <c r="AL6" i="5" s="1"/>
  <c r="AM6" i="5" s="1"/>
  <c r="CA30" i="4"/>
  <c r="BW30" i="4"/>
  <c r="AF30" i="4"/>
  <c r="V30" i="4"/>
  <c r="AF27" i="4"/>
  <c r="CA26" i="4"/>
  <c r="BW26" i="4"/>
  <c r="L31" i="4"/>
  <c r="L34" i="4" s="1"/>
  <c r="T31" i="4"/>
  <c r="R29" i="4"/>
  <c r="AB29" i="4" s="1"/>
  <c r="AL29" i="4" s="1"/>
  <c r="AV29" i="4" s="1"/>
  <c r="BF29" i="4" s="1"/>
  <c r="CA28" i="4"/>
  <c r="BW28" i="4"/>
  <c r="CD34" i="4"/>
  <c r="AK34" i="4"/>
  <c r="AJ34" i="4"/>
  <c r="AN26" i="4"/>
  <c r="S20" i="4"/>
  <c r="AC20" i="4" s="1"/>
  <c r="AM20" i="4" s="1"/>
  <c r="AW20" i="4" s="1"/>
  <c r="BG20" i="4" s="1"/>
  <c r="S30" i="4"/>
  <c r="AC30" i="4" s="1"/>
  <c r="AM30" i="4" s="1"/>
  <c r="AW30" i="4" s="1"/>
  <c r="BG30" i="4" s="1"/>
  <c r="V26" i="4"/>
  <c r="S22" i="4"/>
  <c r="S18" i="4"/>
  <c r="AC18" i="4" s="1"/>
  <c r="AM18" i="4" s="1"/>
  <c r="AW18" i="4" s="1"/>
  <c r="BG18" i="4" s="1"/>
  <c r="AN17" i="4"/>
  <c r="AF17" i="4"/>
  <c r="R12" i="4"/>
  <c r="V20" i="4"/>
  <c r="R17" i="4"/>
  <c r="AB17" i="4" s="1"/>
  <c r="AL17" i="4" s="1"/>
  <c r="AV17" i="4" s="1"/>
  <c r="BF17" i="4" s="1"/>
  <c r="AJ11" i="4"/>
  <c r="AK11" i="4"/>
  <c r="AN10" i="4"/>
  <c r="AP10" i="4" s="1"/>
  <c r="AF10" i="4"/>
  <c r="BD9" i="4"/>
  <c r="BE9" i="4"/>
  <c r="BH16" i="4"/>
  <c r="Q24" i="4"/>
  <c r="P24" i="4"/>
  <c r="H24" i="4"/>
  <c r="BV13" i="4"/>
  <c r="BH13" i="4"/>
  <c r="BF13" i="4"/>
  <c r="BD13" i="4"/>
  <c r="BJ13" i="4"/>
  <c r="BE13" i="4"/>
  <c r="BG13" i="4"/>
  <c r="AD12" i="4"/>
  <c r="AF12" i="4" s="1"/>
  <c r="Z12" i="4"/>
  <c r="AB12" i="4" s="1"/>
  <c r="AA12" i="4"/>
  <c r="AC12" i="4" s="1"/>
  <c r="CD11" i="4"/>
  <c r="S9" i="4"/>
  <c r="AC9" i="4" s="1"/>
  <c r="AM9" i="4" s="1"/>
  <c r="AW9" i="4" s="1"/>
  <c r="BG9" i="4" s="1"/>
  <c r="I14" i="4"/>
  <c r="T16" i="6" s="1"/>
  <c r="T14" i="4"/>
  <c r="BD11" i="4"/>
  <c r="BE11" i="4"/>
  <c r="AU9" i="4"/>
  <c r="AV9" i="4"/>
  <c r="BF9" i="4" s="1"/>
  <c r="AT9" i="4"/>
  <c r="BE10" i="4"/>
  <c r="BD10" i="4"/>
  <c r="BE12" i="4"/>
  <c r="BD12" i="4"/>
  <c r="BV11" i="4"/>
  <c r="AN13" i="4"/>
  <c r="AL13" i="4"/>
  <c r="AJ13" i="4"/>
  <c r="AM13" i="4"/>
  <c r="AK13" i="4"/>
  <c r="AP13" i="4"/>
  <c r="L17" i="4"/>
  <c r="R7" i="4"/>
  <c r="AB7" i="4" s="1"/>
  <c r="AL7" i="4" s="1"/>
  <c r="AV7" i="4" s="1"/>
  <c r="BF7" i="4" s="1"/>
  <c r="CA6" i="4"/>
  <c r="BW6" i="4"/>
  <c r="V7" i="4"/>
  <c r="V14" i="4" s="1"/>
  <c r="AQ15" i="5"/>
  <c r="D57" i="3"/>
  <c r="M73" i="3"/>
  <c r="W31" i="5"/>
  <c r="D52" i="3"/>
  <c r="M36" i="3"/>
  <c r="W5" i="5"/>
  <c r="D31" i="3"/>
  <c r="M47" i="3"/>
  <c r="B16" i="3"/>
  <c r="C23" i="2"/>
  <c r="BM55" i="2"/>
  <c r="L30" i="3"/>
  <c r="BM75" i="2"/>
  <c r="BM45" i="2"/>
  <c r="BM15" i="2"/>
  <c r="W10" i="5"/>
  <c r="M48" i="3"/>
  <c r="D32" i="3"/>
  <c r="W20" i="5"/>
  <c r="M50" i="3"/>
  <c r="D34" i="3"/>
  <c r="W30" i="5"/>
  <c r="M52" i="3"/>
  <c r="D36" i="3"/>
  <c r="AQ7" i="5"/>
  <c r="I71" i="3"/>
  <c r="M63" i="3"/>
  <c r="AQ27" i="5"/>
  <c r="I75" i="3"/>
  <c r="M67" i="3"/>
  <c r="AQ6" i="5"/>
  <c r="D71" i="3"/>
  <c r="M55" i="3"/>
  <c r="AQ16" i="5"/>
  <c r="M57" i="3"/>
  <c r="D73" i="3"/>
  <c r="AQ26" i="5"/>
  <c r="D75" i="3"/>
  <c r="M59" i="3"/>
  <c r="AQ36" i="5"/>
  <c r="M61" i="3"/>
  <c r="D77" i="3"/>
  <c r="AG15" i="2"/>
  <c r="P14" i="4"/>
  <c r="H14" i="4"/>
  <c r="Q16" i="6" s="1"/>
  <c r="AX21" i="4"/>
  <c r="AT21" i="4"/>
  <c r="AZ21" i="4"/>
  <c r="AU21" i="4"/>
  <c r="AW21" i="4"/>
  <c r="AU22" i="4"/>
  <c r="AT22" i="4"/>
  <c r="B30" i="3"/>
  <c r="BN33" i="2" s="1"/>
  <c r="L28" i="3"/>
  <c r="AU15" i="2"/>
  <c r="L26" i="3"/>
  <c r="AC15" i="2"/>
  <c r="L24" i="3"/>
  <c r="K15" i="2"/>
  <c r="BH15" i="2"/>
  <c r="X15" i="2"/>
  <c r="BB37" i="5"/>
  <c r="BD37" i="5" s="1"/>
  <c r="BF37" i="5" s="1"/>
  <c r="BG37" i="5" s="1"/>
  <c r="N37" i="5"/>
  <c r="P37" i="5" s="1"/>
  <c r="R37" i="5" s="1"/>
  <c r="N35" i="5"/>
  <c r="P35" i="5" s="1"/>
  <c r="R35" i="5" s="1"/>
  <c r="BB25" i="5"/>
  <c r="BD25" i="5" s="1"/>
  <c r="BF25" i="5" s="1"/>
  <c r="N25" i="5"/>
  <c r="P25" i="5" s="1"/>
  <c r="R25" i="5" s="1"/>
  <c r="AM27" i="5"/>
  <c r="BB15" i="5"/>
  <c r="BD15" i="5" s="1"/>
  <c r="BF15" i="5" s="1"/>
  <c r="BG15" i="5" s="1"/>
  <c r="N15" i="5"/>
  <c r="P15" i="5" s="1"/>
  <c r="R15" i="5" s="1"/>
  <c r="S32" i="4"/>
  <c r="AC32" i="4" s="1"/>
  <c r="AM32" i="4" s="1"/>
  <c r="AW32" i="4" s="1"/>
  <c r="BG32" i="4" s="1"/>
  <c r="CA27" i="4"/>
  <c r="BW27" i="4"/>
  <c r="CA17" i="4"/>
  <c r="BW17" i="4"/>
  <c r="L24" i="4"/>
  <c r="CA10" i="4"/>
  <c r="BW10" i="4"/>
  <c r="BB31" i="5"/>
  <c r="BD31" i="5" s="1"/>
  <c r="BF31" i="5" s="1"/>
  <c r="N31" i="5"/>
  <c r="P31" i="5" s="1"/>
  <c r="R31" i="5" s="1"/>
  <c r="AH30" i="5"/>
  <c r="AJ30" i="5" s="1"/>
  <c r="AL30" i="5" s="1"/>
  <c r="BB20" i="5"/>
  <c r="BD20" i="5" s="1"/>
  <c r="BF20" i="5" s="1"/>
  <c r="BG20" i="5" s="1"/>
  <c r="N20" i="5"/>
  <c r="P20" i="5" s="1"/>
  <c r="R20" i="5" s="1"/>
  <c r="S20" i="5" s="1"/>
  <c r="BB10" i="5"/>
  <c r="BD10" i="5" s="1"/>
  <c r="BF10" i="5" s="1"/>
  <c r="BG10" i="5" s="1"/>
  <c r="BB6" i="5"/>
  <c r="BD6" i="5" s="1"/>
  <c r="BF6" i="5" s="1"/>
  <c r="BG6" i="5" s="1"/>
  <c r="N6" i="5"/>
  <c r="P6" i="5" s="1"/>
  <c r="R6" i="5" s="1"/>
  <c r="S6" i="5" s="1"/>
  <c r="R27" i="4"/>
  <c r="AB27" i="4" s="1"/>
  <c r="AL27" i="4" s="1"/>
  <c r="AV27" i="4" s="1"/>
  <c r="BF27" i="4" s="1"/>
  <c r="R31" i="4"/>
  <c r="AB31" i="4" s="1"/>
  <c r="AL31" i="4" s="1"/>
  <c r="AV31" i="4" s="1"/>
  <c r="BF31" i="4" s="1"/>
  <c r="S28" i="4"/>
  <c r="AC28" i="4" s="1"/>
  <c r="AM28" i="4" s="1"/>
  <c r="AW28" i="4" s="1"/>
  <c r="BG28" i="4" s="1"/>
  <c r="S26" i="4"/>
  <c r="R21" i="4"/>
  <c r="AB21" i="4" s="1"/>
  <c r="AL21" i="4" s="1"/>
  <c r="AV21" i="4" s="1"/>
  <c r="CA20" i="4"/>
  <c r="BW20" i="4"/>
  <c r="BE34" i="4"/>
  <c r="BD34" i="4"/>
  <c r="Q34" i="4"/>
  <c r="P34" i="4"/>
  <c r="BL23" i="4"/>
  <c r="R19" i="4"/>
  <c r="AB19" i="4" s="1"/>
  <c r="AL19" i="4" s="1"/>
  <c r="AV19" i="4" s="1"/>
  <c r="BF19" i="4" s="1"/>
  <c r="CA18" i="4"/>
  <c r="BW18" i="4"/>
  <c r="AD18" i="4"/>
  <c r="V18" i="4"/>
  <c r="V24" i="4" s="1"/>
  <c r="CA11" i="4"/>
  <c r="AF19" i="4"/>
  <c r="AP16" i="4"/>
  <c r="S11" i="4"/>
  <c r="AX10" i="4"/>
  <c r="BH10" i="4" s="1"/>
  <c r="BJ10" i="4" s="1"/>
  <c r="AT10" i="4"/>
  <c r="AW10" i="4"/>
  <c r="BG10" i="4" s="1"/>
  <c r="AU10" i="4"/>
  <c r="BV9" i="4"/>
  <c r="BU9" i="4"/>
  <c r="CD9" i="4"/>
  <c r="AZ19" i="4"/>
  <c r="CA16" i="4"/>
  <c r="BW16" i="4"/>
  <c r="AB16" i="4"/>
  <c r="BU13" i="4"/>
  <c r="CD10" i="4"/>
  <c r="R10" i="4"/>
  <c r="AB10" i="4" s="1"/>
  <c r="AL10" i="4" s="1"/>
  <c r="AV10" i="4" s="1"/>
  <c r="AF8" i="4"/>
  <c r="AN8" i="4"/>
  <c r="CA7" i="4"/>
  <c r="BW7" i="4"/>
  <c r="L14" i="4"/>
  <c r="J14" i="4"/>
  <c r="BR90" i="2"/>
  <c r="BQ86" i="2"/>
  <c r="BQ85" i="2"/>
  <c r="BQ90" i="2"/>
  <c r="BM86" i="2"/>
  <c r="BM85" i="2"/>
  <c r="AT12" i="4"/>
  <c r="AU12" i="4"/>
  <c r="AU11" i="4"/>
  <c r="AT11" i="4"/>
  <c r="AZ13" i="4"/>
  <c r="AW13" i="4"/>
  <c r="AU13" i="4"/>
  <c r="AX13" i="4"/>
  <c r="AT13" i="4"/>
  <c r="AV13" i="4"/>
  <c r="AA11" i="4"/>
  <c r="AD11" i="4"/>
  <c r="Z11" i="4"/>
  <c r="AK12" i="4"/>
  <c r="AJ12" i="4"/>
  <c r="AF13" i="4"/>
  <c r="AC13" i="4"/>
  <c r="AA13" i="4"/>
  <c r="AB13" i="4"/>
  <c r="Z13" i="4"/>
  <c r="AD13" i="4"/>
  <c r="S8" i="4"/>
  <c r="AC8" i="4" s="1"/>
  <c r="AM8" i="4" s="1"/>
  <c r="AW8" i="4" s="1"/>
  <c r="BG8" i="4" s="1"/>
  <c r="Q14" i="4"/>
  <c r="AQ35" i="5"/>
  <c r="D61" i="3"/>
  <c r="M77" i="3"/>
  <c r="AQ21" i="5"/>
  <c r="D74" i="3"/>
  <c r="M58" i="3"/>
  <c r="AQ22" i="5"/>
  <c r="M66" i="3"/>
  <c r="I74" i="3"/>
  <c r="AH23" i="4"/>
  <c r="BP22" i="4"/>
  <c r="AH22" i="4"/>
  <c r="BP23" i="4"/>
  <c r="B54" i="3"/>
  <c r="BN63" i="2" s="1"/>
  <c r="AD23" i="4"/>
  <c r="AB23" i="4"/>
  <c r="Z23" i="4"/>
  <c r="AC23" i="4"/>
  <c r="AF23" i="4"/>
  <c r="AA23" i="4"/>
  <c r="AA22" i="4"/>
  <c r="AC22" i="4" s="1"/>
  <c r="AD22" i="4"/>
  <c r="AF22" i="4" s="1"/>
  <c r="Z22" i="4"/>
  <c r="Z24" i="4" s="1"/>
  <c r="W25" i="5"/>
  <c r="D35" i="3"/>
  <c r="M51" i="3"/>
  <c r="W11" i="5"/>
  <c r="D48" i="3"/>
  <c r="M32" i="3"/>
  <c r="W6" i="5"/>
  <c r="D47" i="3"/>
  <c r="M31" i="3"/>
  <c r="W16" i="5"/>
  <c r="D49" i="3"/>
  <c r="M33" i="3"/>
  <c r="W26" i="5"/>
  <c r="D51" i="3"/>
  <c r="M35" i="3"/>
  <c r="W36" i="5"/>
  <c r="D53" i="3"/>
  <c r="M37" i="3"/>
  <c r="AQ17" i="5"/>
  <c r="I73" i="3"/>
  <c r="M65" i="3"/>
  <c r="AQ37" i="5"/>
  <c r="BQ33" i="4"/>
  <c r="BT33" i="4" s="1"/>
  <c r="I77" i="3"/>
  <c r="M69" i="3"/>
  <c r="AQ10" i="5"/>
  <c r="M72" i="3"/>
  <c r="D56" i="3"/>
  <c r="AQ20" i="5"/>
  <c r="M74" i="3"/>
  <c r="D58" i="3"/>
  <c r="AQ30" i="5"/>
  <c r="M76" i="3"/>
  <c r="D60" i="3"/>
  <c r="O15" i="2"/>
  <c r="S6" i="4"/>
  <c r="R6" i="4"/>
  <c r="BB23" i="4"/>
  <c r="BR22" i="4"/>
  <c r="BB21" i="4"/>
  <c r="BR23" i="4"/>
  <c r="BB22" i="4"/>
  <c r="BR21" i="4"/>
  <c r="B78" i="3"/>
  <c r="BN93" i="2" s="1"/>
  <c r="AX23" i="4"/>
  <c r="AV23" i="4"/>
  <c r="AT23" i="4"/>
  <c r="AZ23" i="4"/>
  <c r="AU23" i="4"/>
  <c r="AW23" i="4"/>
  <c r="M30" i="3"/>
  <c r="B22" i="3"/>
  <c r="BN23" i="2" s="1"/>
  <c r="BD15" i="2"/>
  <c r="T15" i="2"/>
  <c r="AP15" i="2"/>
  <c r="BE14" i="4" l="1"/>
  <c r="CC19" i="4"/>
  <c r="AM12" i="4"/>
  <c r="AW12" i="4" s="1"/>
  <c r="BG12" i="4" s="1"/>
  <c r="AM25" i="5"/>
  <c r="R24" i="4"/>
  <c r="Q22" i="6" s="1"/>
  <c r="N28" i="6" s="1"/>
  <c r="S15" i="5"/>
  <c r="CC28" i="4"/>
  <c r="CC27" i="4"/>
  <c r="AN12" i="4"/>
  <c r="AX12" i="4" s="1"/>
  <c r="AM31" i="5"/>
  <c r="AM37" i="5"/>
  <c r="BW11" i="4"/>
  <c r="AN9" i="4"/>
  <c r="AF9" i="4"/>
  <c r="BW13" i="4"/>
  <c r="BW9" i="4"/>
  <c r="CC21" i="4"/>
  <c r="CE21" i="4" s="1"/>
  <c r="CF21" i="4" s="1"/>
  <c r="AU24" i="4"/>
  <c r="AT24" i="4"/>
  <c r="Z14" i="4"/>
  <c r="AA14" i="4"/>
  <c r="AJ14" i="4"/>
  <c r="AK14" i="4"/>
  <c r="AB11" i="4"/>
  <c r="AL11" i="4" s="1"/>
  <c r="AV11" i="4" s="1"/>
  <c r="BF11" i="4" s="1"/>
  <c r="AD14" i="4"/>
  <c r="AC11" i="4"/>
  <c r="AM11" i="4" s="1"/>
  <c r="AW11" i="4" s="1"/>
  <c r="BG11" i="4" s="1"/>
  <c r="AU14" i="4"/>
  <c r="CD14" i="4"/>
  <c r="AZ10" i="4"/>
  <c r="BD14" i="4"/>
  <c r="AT14" i="4"/>
  <c r="S25" i="5"/>
  <c r="S27" i="5"/>
  <c r="S26" i="5"/>
  <c r="S35" i="5"/>
  <c r="S36" i="5"/>
  <c r="AM10" i="5"/>
  <c r="AM12" i="5"/>
  <c r="AM11" i="5"/>
  <c r="S30" i="5"/>
  <c r="S32" i="5"/>
  <c r="BH12" i="4"/>
  <c r="BJ12" i="4" s="1"/>
  <c r="AZ12" i="4"/>
  <c r="BF10" i="4"/>
  <c r="CC10" i="4"/>
  <c r="CE19" i="4"/>
  <c r="CF19" i="4" s="1"/>
  <c r="BG25" i="5"/>
  <c r="BG26" i="5"/>
  <c r="BG27" i="5"/>
  <c r="S10" i="5"/>
  <c r="S11" i="5"/>
  <c r="S12" i="5"/>
  <c r="AM20" i="5"/>
  <c r="AM21" i="5"/>
  <c r="AM22" i="5"/>
  <c r="BG30" i="5"/>
  <c r="BG32" i="5"/>
  <c r="BU21" i="4"/>
  <c r="BV21" i="4"/>
  <c r="BT21" i="4"/>
  <c r="S14" i="4"/>
  <c r="N16" i="6" s="1"/>
  <c r="E22" i="6" s="1"/>
  <c r="AC6" i="4"/>
  <c r="BR70" i="2"/>
  <c r="BQ66" i="2"/>
  <c r="BQ65" i="2"/>
  <c r="BQ70" i="2"/>
  <c r="BM66" i="2"/>
  <c r="BM65" i="2"/>
  <c r="AN22" i="4"/>
  <c r="AX22" i="4" s="1"/>
  <c r="AZ22" i="4" s="1"/>
  <c r="AJ22" i="4"/>
  <c r="AP22" i="4"/>
  <c r="AK22" i="4"/>
  <c r="CD22" i="4"/>
  <c r="AP23" i="4"/>
  <c r="AM23" i="4"/>
  <c r="AK23" i="4"/>
  <c r="AN23" i="4"/>
  <c r="AJ23" i="4"/>
  <c r="AL23" i="4"/>
  <c r="AL12" i="4"/>
  <c r="AV12" i="4" s="1"/>
  <c r="BF12" i="4" s="1"/>
  <c r="AX8" i="4"/>
  <c r="AP8" i="4"/>
  <c r="CA13" i="4"/>
  <c r="AL16" i="4"/>
  <c r="CE28" i="4"/>
  <c r="CF28" i="4" s="1"/>
  <c r="CE27" i="4"/>
  <c r="CF27" i="4" s="1"/>
  <c r="AM30" i="5"/>
  <c r="S31" i="5"/>
  <c r="BG31" i="5"/>
  <c r="S37" i="5"/>
  <c r="BU33" i="4"/>
  <c r="BW33" i="4" s="1"/>
  <c r="BV33" i="4"/>
  <c r="L23" i="2"/>
  <c r="B17" i="3"/>
  <c r="CA9" i="4"/>
  <c r="AX17" i="4"/>
  <c r="AP17" i="4"/>
  <c r="AX26" i="4"/>
  <c r="AP26" i="4"/>
  <c r="S24" i="4"/>
  <c r="T22" i="6" s="1"/>
  <c r="K28" i="6" s="1"/>
  <c r="AC16" i="4"/>
  <c r="AA24" i="4"/>
  <c r="AM35" i="5"/>
  <c r="BG35" i="5"/>
  <c r="AM7" i="5"/>
  <c r="BG17" i="5"/>
  <c r="S22" i="5"/>
  <c r="BG22" i="5"/>
  <c r="AL26" i="4"/>
  <c r="BH30" i="4"/>
  <c r="BJ30" i="4" s="1"/>
  <c r="AZ30" i="4"/>
  <c r="AM17" i="5"/>
  <c r="S5" i="5"/>
  <c r="S16" i="5"/>
  <c r="AM32" i="5"/>
  <c r="AM36" i="5"/>
  <c r="S34" i="4"/>
  <c r="AC26" i="4"/>
  <c r="BQ30" i="2"/>
  <c r="BR30" i="2"/>
  <c r="BQ26" i="2"/>
  <c r="BQ25" i="2"/>
  <c r="BM26" i="2"/>
  <c r="BM25" i="2"/>
  <c r="BR100" i="2"/>
  <c r="BQ96" i="2"/>
  <c r="BQ95" i="2"/>
  <c r="BQ100" i="2"/>
  <c r="BM96" i="2"/>
  <c r="BM95" i="2"/>
  <c r="BD22" i="4"/>
  <c r="BE22" i="4"/>
  <c r="BG21" i="4"/>
  <c r="BE21" i="4"/>
  <c r="BF21" i="4"/>
  <c r="BH21" i="4"/>
  <c r="BJ21" i="4" s="1"/>
  <c r="BD21" i="4"/>
  <c r="CD21" i="4"/>
  <c r="BJ23" i="4"/>
  <c r="BG23" i="4"/>
  <c r="BE23" i="4"/>
  <c r="BF23" i="4"/>
  <c r="BH23" i="4"/>
  <c r="BD23" i="4"/>
  <c r="R14" i="4"/>
  <c r="K16" i="6" s="1"/>
  <c r="H22" i="6" s="1"/>
  <c r="AB6" i="4"/>
  <c r="AB22" i="4"/>
  <c r="BV23" i="4"/>
  <c r="BT23" i="4"/>
  <c r="BU22" i="4"/>
  <c r="BV22" i="4"/>
  <c r="BT22" i="4"/>
  <c r="AP12" i="4"/>
  <c r="AF11" i="4"/>
  <c r="AF14" i="4" s="1"/>
  <c r="AF18" i="4"/>
  <c r="AF24" i="4" s="1"/>
  <c r="AD24" i="4"/>
  <c r="AN18" i="4"/>
  <c r="BQ40" i="2"/>
  <c r="BM36" i="2"/>
  <c r="BM35" i="2"/>
  <c r="BR40" i="2"/>
  <c r="BQ36" i="2"/>
  <c r="BQ35" i="2"/>
  <c r="F30" i="2"/>
  <c r="G30" i="2"/>
  <c r="F26" i="2"/>
  <c r="F25" i="2"/>
  <c r="B26" i="2"/>
  <c r="B25" i="2"/>
  <c r="BU23" i="4"/>
  <c r="BJ16" i="4"/>
  <c r="AN11" i="4"/>
  <c r="AN14" i="4" s="1"/>
  <c r="AD31" i="4"/>
  <c r="T34" i="4"/>
  <c r="V31" i="4"/>
  <c r="BG7" i="5"/>
  <c r="AN32" i="4"/>
  <c r="AF32" i="4"/>
  <c r="AX29" i="4"/>
  <c r="AP29" i="4"/>
  <c r="S17" i="5"/>
  <c r="AM5" i="5"/>
  <c r="AM16" i="5"/>
  <c r="S21" i="5"/>
  <c r="BG21" i="5"/>
  <c r="AM26" i="5"/>
  <c r="AZ6" i="4"/>
  <c r="BH6" i="4"/>
  <c r="AP7" i="4"/>
  <c r="AX7" i="4"/>
  <c r="R34" i="4"/>
  <c r="AB34" i="4" s="1"/>
  <c r="BH20" i="4"/>
  <c r="BJ20" i="4" s="1"/>
  <c r="AZ20" i="4"/>
  <c r="CC20" i="4" s="1"/>
  <c r="S7" i="5"/>
  <c r="CC30" i="4"/>
  <c r="BG12" i="5"/>
  <c r="BG5" i="5"/>
  <c r="BG11" i="5"/>
  <c r="BG16" i="5"/>
  <c r="BG36" i="5"/>
  <c r="CD24" i="4" l="1"/>
  <c r="AN24" i="4"/>
  <c r="BH22" i="4"/>
  <c r="BJ22" i="4" s="1"/>
  <c r="AP9" i="4"/>
  <c r="AX9" i="4"/>
  <c r="AL22" i="4"/>
  <c r="AV22" i="4" s="1"/>
  <c r="BF22" i="4" s="1"/>
  <c r="BD24" i="4"/>
  <c r="CC12" i="4"/>
  <c r="CE12" i="4" s="1"/>
  <c r="CF12" i="4" s="1"/>
  <c r="CE20" i="4"/>
  <c r="CF20" i="4" s="1"/>
  <c r="BH29" i="4"/>
  <c r="BJ29" i="4" s="1"/>
  <c r="AZ29" i="4"/>
  <c r="CC29" i="4" s="1"/>
  <c r="AP32" i="4"/>
  <c r="AX32" i="4"/>
  <c r="AF31" i="4"/>
  <c r="AF34" i="4" s="1"/>
  <c r="AN31" i="4"/>
  <c r="AD34" i="4"/>
  <c r="V34" i="4"/>
  <c r="CA22" i="4"/>
  <c r="BW22" i="4"/>
  <c r="AB14" i="4"/>
  <c r="Q18" i="6" s="1"/>
  <c r="AL6" i="4"/>
  <c r="BE24" i="4"/>
  <c r="AL34" i="4"/>
  <c r="AV26" i="4"/>
  <c r="AC24" i="4"/>
  <c r="AM16" i="4"/>
  <c r="BH17" i="4"/>
  <c r="AZ17" i="4"/>
  <c r="CC17" i="4" s="1"/>
  <c r="B18" i="3"/>
  <c r="U23" i="2"/>
  <c r="AB24" i="4"/>
  <c r="AJ24" i="4"/>
  <c r="CA33" i="4"/>
  <c r="CE30" i="4"/>
  <c r="CF30" i="4" s="1"/>
  <c r="BH7" i="4"/>
  <c r="BJ7" i="4" s="1"/>
  <c r="AZ7" i="4"/>
  <c r="CC7" i="4" s="1"/>
  <c r="BJ6" i="4"/>
  <c r="AP11" i="4"/>
  <c r="AP14" i="4" s="1"/>
  <c r="AX11" i="4"/>
  <c r="AX18" i="4"/>
  <c r="AX24" i="4" s="1"/>
  <c r="AP18" i="4"/>
  <c r="AP24" i="4" s="1"/>
  <c r="CA23" i="4"/>
  <c r="BW23" i="4"/>
  <c r="AC34" i="4"/>
  <c r="AM26" i="4"/>
  <c r="BH26" i="4"/>
  <c r="AZ26" i="4"/>
  <c r="P30" i="2"/>
  <c r="O26" i="2"/>
  <c r="O25" i="2"/>
  <c r="O30" i="2"/>
  <c r="K26" i="2"/>
  <c r="K25" i="2"/>
  <c r="AV16" i="4"/>
  <c r="AZ8" i="4"/>
  <c r="CC8" i="4" s="1"/>
  <c r="BH8" i="4"/>
  <c r="BJ8" i="4" s="1"/>
  <c r="AK24" i="4"/>
  <c r="AM22" i="4"/>
  <c r="AW22" i="4" s="1"/>
  <c r="BG22" i="4" s="1"/>
  <c r="AC14" i="4"/>
  <c r="T18" i="6" s="1"/>
  <c r="AM6" i="4"/>
  <c r="CA21" i="4"/>
  <c r="BW21" i="4"/>
  <c r="CE10" i="4"/>
  <c r="CF10" i="4" s="1"/>
  <c r="BH9" i="4" l="1"/>
  <c r="BJ9" i="4" s="1"/>
  <c r="AZ9" i="4"/>
  <c r="CC9" i="4" s="1"/>
  <c r="CE9" i="4" s="1"/>
  <c r="CF9" i="4" s="1"/>
  <c r="AL24" i="4"/>
  <c r="Q24" i="6" s="1"/>
  <c r="N30" i="6" s="1"/>
  <c r="CE7" i="4"/>
  <c r="CF7" i="4" s="1"/>
  <c r="CE17" i="4"/>
  <c r="CF17" i="4" s="1"/>
  <c r="BX21" i="4"/>
  <c r="BX9" i="4"/>
  <c r="BX6" i="4"/>
  <c r="BX20" i="4"/>
  <c r="BX10" i="4"/>
  <c r="BX26" i="4"/>
  <c r="BX29" i="4"/>
  <c r="BX31" i="4"/>
  <c r="BX13" i="4"/>
  <c r="BX7" i="4"/>
  <c r="BX18" i="4"/>
  <c r="BX17" i="4"/>
  <c r="BX28" i="4"/>
  <c r="BX8" i="4"/>
  <c r="BX19" i="4"/>
  <c r="BX16" i="4"/>
  <c r="BX11" i="4"/>
  <c r="BX27" i="4"/>
  <c r="BX30" i="4"/>
  <c r="BX12" i="4"/>
  <c r="BX32" i="4"/>
  <c r="AM14" i="4"/>
  <c r="N18" i="6" s="1"/>
  <c r="E24" i="6" s="1"/>
  <c r="AW6" i="4"/>
  <c r="AV24" i="4"/>
  <c r="BF16" i="4"/>
  <c r="AM34" i="4"/>
  <c r="AW26" i="4"/>
  <c r="CC26" i="4" s="1"/>
  <c r="E30" i="6"/>
  <c r="CE8" i="4"/>
  <c r="CF8" i="4" s="1"/>
  <c r="BJ26" i="4"/>
  <c r="BX23" i="4"/>
  <c r="CE29" i="4"/>
  <c r="CF29" i="4" s="1"/>
  <c r="B19" i="3"/>
  <c r="AD23" i="2"/>
  <c r="BJ17" i="4"/>
  <c r="AM24" i="4"/>
  <c r="T24" i="6" s="1"/>
  <c r="K30" i="6" s="1"/>
  <c r="AW16" i="4"/>
  <c r="AL14" i="4"/>
  <c r="K18" i="6" s="1"/>
  <c r="H24" i="6" s="1"/>
  <c r="AV6" i="4"/>
  <c r="BX22" i="4"/>
  <c r="AP31" i="4"/>
  <c r="AP34" i="4" s="1"/>
  <c r="AX31" i="4"/>
  <c r="AN34" i="4"/>
  <c r="AZ32" i="4"/>
  <c r="CC32" i="4" s="1"/>
  <c r="BH32" i="4"/>
  <c r="BJ32" i="4" s="1"/>
  <c r="BX33" i="4"/>
  <c r="CC22" i="4"/>
  <c r="BH18" i="4"/>
  <c r="BJ18" i="4" s="1"/>
  <c r="AZ18" i="4"/>
  <c r="CC18" i="4" s="1"/>
  <c r="AZ11" i="4"/>
  <c r="CC11" i="4" s="1"/>
  <c r="BH11" i="4"/>
  <c r="BJ11" i="4" s="1"/>
  <c r="BJ14" i="4" s="1"/>
  <c r="AX14" i="4"/>
  <c r="BH14" i="4"/>
  <c r="X30" i="2"/>
  <c r="Y30" i="2"/>
  <c r="X26" i="2"/>
  <c r="X25" i="2"/>
  <c r="T26" i="2"/>
  <c r="T25" i="2"/>
  <c r="AV34" i="4"/>
  <c r="BF26" i="4"/>
  <c r="H30" i="6"/>
  <c r="AZ24" i="4" l="1"/>
  <c r="BF34" i="4"/>
  <c r="BF24" i="4"/>
  <c r="Q26" i="6" s="1"/>
  <c r="N32" i="6" s="1"/>
  <c r="AW14" i="4"/>
  <c r="T20" i="6" s="1"/>
  <c r="BG6" i="4"/>
  <c r="AE16" i="6"/>
  <c r="AI16" i="6"/>
  <c r="CE11" i="4"/>
  <c r="CF11" i="4" s="1"/>
  <c r="CE32" i="4"/>
  <c r="CF32" i="4" s="1"/>
  <c r="AZ31" i="4"/>
  <c r="BH31" i="4"/>
  <c r="AX34" i="4"/>
  <c r="AV14" i="4"/>
  <c r="Q20" i="6" s="1"/>
  <c r="BF6" i="4"/>
  <c r="AW24" i="4"/>
  <c r="BG16" i="4"/>
  <c r="BH24" i="4"/>
  <c r="AH30" i="2"/>
  <c r="AG26" i="2"/>
  <c r="AG25" i="2"/>
  <c r="AG30" i="2"/>
  <c r="AC26" i="2"/>
  <c r="AC25" i="2"/>
  <c r="CE26" i="4"/>
  <c r="CC16" i="4"/>
  <c r="AZ14" i="4"/>
  <c r="CE18" i="4"/>
  <c r="CF18" i="4" s="1"/>
  <c r="CE22" i="4"/>
  <c r="CF22" i="4" s="1"/>
  <c r="CC6" i="4"/>
  <c r="BJ24" i="4"/>
  <c r="B20" i="3"/>
  <c r="AM23" i="2"/>
  <c r="AW34" i="4"/>
  <c r="BG26" i="4"/>
  <c r="BG24" i="4" l="1"/>
  <c r="T26" i="6" s="1"/>
  <c r="K32" i="6" s="1"/>
  <c r="BF14" i="4"/>
  <c r="K20" i="6" s="1"/>
  <c r="H26" i="6" s="1"/>
  <c r="AA22" i="6" s="1"/>
  <c r="BG14" i="4"/>
  <c r="N20" i="6" s="1"/>
  <c r="E26" i="6" s="1"/>
  <c r="W22" i="6" s="1"/>
  <c r="AQ30" i="2"/>
  <c r="AP26" i="2"/>
  <c r="AP25" i="2"/>
  <c r="AP30" i="2"/>
  <c r="AL26" i="2"/>
  <c r="AL25" i="2"/>
  <c r="CC14" i="4"/>
  <c r="CE6" i="4"/>
  <c r="CE14" i="4" s="1"/>
  <c r="CC24" i="4"/>
  <c r="CE16" i="4"/>
  <c r="CE24" i="4" s="1"/>
  <c r="BG34" i="4"/>
  <c r="AV23" i="2"/>
  <c r="B21" i="3"/>
  <c r="CF26" i="4"/>
  <c r="AE22" i="6"/>
  <c r="AI22" i="6"/>
  <c r="H32" i="6"/>
  <c r="AA28" i="6" s="1"/>
  <c r="W16" i="6"/>
  <c r="BJ31" i="4"/>
  <c r="BJ34" i="4" s="1"/>
  <c r="BH34" i="4"/>
  <c r="E32" i="6"/>
  <c r="W28" i="6" s="1"/>
  <c r="AA16" i="6"/>
  <c r="CC31" i="4"/>
  <c r="AZ34" i="4"/>
  <c r="CF6" i="4" l="1"/>
  <c r="BL12" i="4" s="1"/>
  <c r="CE31" i="4"/>
  <c r="CE34" i="4" s="1"/>
  <c r="CC34" i="4"/>
  <c r="BE23" i="2"/>
  <c r="B23" i="3"/>
  <c r="AE24" i="6"/>
  <c r="AK22" i="6" s="1"/>
  <c r="AJ22" i="6"/>
  <c r="CF16" i="4"/>
  <c r="CF14" i="4"/>
  <c r="BL8" i="4"/>
  <c r="AE28" i="6"/>
  <c r="AI28" i="6"/>
  <c r="AY30" i="2"/>
  <c r="AZ30" i="2"/>
  <c r="AY26" i="2"/>
  <c r="AY25" i="2"/>
  <c r="AU26" i="2"/>
  <c r="AU25" i="2"/>
  <c r="AE18" i="6"/>
  <c r="AK16" i="6" s="1"/>
  <c r="AJ16" i="6"/>
  <c r="BL10" i="4" l="1"/>
  <c r="BL11" i="4"/>
  <c r="BL7" i="4"/>
  <c r="BL9" i="4"/>
  <c r="BL6" i="4"/>
  <c r="CF31" i="4"/>
  <c r="BL31" i="4" s="1"/>
  <c r="CF24" i="4"/>
  <c r="BL16" i="4"/>
  <c r="BL19" i="4"/>
  <c r="BL21" i="4"/>
  <c r="BL20" i="4"/>
  <c r="BL17" i="4"/>
  <c r="BL18" i="4"/>
  <c r="BL22" i="4"/>
  <c r="BI30" i="2"/>
  <c r="BH26" i="2"/>
  <c r="BH25" i="2"/>
  <c r="BH30" i="2"/>
  <c r="BD26" i="2"/>
  <c r="BD25" i="2"/>
  <c r="B24" i="3"/>
  <c r="C33" i="2"/>
  <c r="AE30" i="6"/>
  <c r="AK28" i="6" s="1"/>
  <c r="AJ28" i="6"/>
  <c r="BL30" i="4" l="1"/>
  <c r="BL32" i="4"/>
  <c r="BL28" i="4"/>
  <c r="CK6" i="4"/>
  <c r="CJ6" i="4"/>
  <c r="BL26" i="4"/>
  <c r="BL29" i="4"/>
  <c r="CF34" i="4"/>
  <c r="BL27" i="4"/>
  <c r="G40" i="2"/>
  <c r="F36" i="2"/>
  <c r="F35" i="2"/>
  <c r="F40" i="2"/>
  <c r="B36" i="2"/>
  <c r="B35" i="2"/>
  <c r="CJ7" i="4"/>
  <c r="CK7" i="4"/>
  <c r="B25" i="3"/>
  <c r="L33" i="2"/>
  <c r="CJ8" i="4" l="1"/>
  <c r="CK8" i="4"/>
  <c r="CH7" i="4" s="1"/>
  <c r="O40" i="2"/>
  <c r="K36" i="2"/>
  <c r="K35" i="2"/>
  <c r="P40" i="2"/>
  <c r="O36" i="2"/>
  <c r="O35" i="2"/>
  <c r="B26" i="3"/>
  <c r="U33" i="2"/>
  <c r="CH6" i="4" l="1"/>
  <c r="CH8" i="4"/>
  <c r="X40" i="2"/>
  <c r="Y40" i="2"/>
  <c r="X36" i="2"/>
  <c r="X35" i="2"/>
  <c r="T36" i="2"/>
  <c r="T35" i="2"/>
  <c r="AD33" i="2"/>
  <c r="B27" i="3"/>
  <c r="B28" i="3" l="1"/>
  <c r="AM33" i="2"/>
  <c r="AC36" i="2"/>
  <c r="AH40" i="2"/>
  <c r="AG36" i="2"/>
  <c r="AG35" i="2"/>
  <c r="AG40" i="2"/>
  <c r="AC35" i="2"/>
  <c r="AP40" i="2" l="1"/>
  <c r="AL35" i="2"/>
  <c r="AQ40" i="2"/>
  <c r="AP36" i="2"/>
  <c r="AP35" i="2"/>
  <c r="AL36" i="2"/>
  <c r="B29" i="3"/>
  <c r="AV33" i="2"/>
  <c r="AY40" i="2" l="1"/>
  <c r="AU36" i="2"/>
  <c r="AU35" i="2"/>
  <c r="AZ40" i="2"/>
  <c r="AY36" i="2"/>
  <c r="AY35" i="2"/>
  <c r="BE33" i="2"/>
  <c r="B31" i="3"/>
  <c r="B32" i="3" l="1"/>
  <c r="C43" i="2"/>
  <c r="BI40" i="2"/>
  <c r="BH36" i="2"/>
  <c r="BH35" i="2"/>
  <c r="BH40" i="2"/>
  <c r="BD36" i="2"/>
  <c r="BD35" i="2"/>
  <c r="F50" i="2" l="1"/>
  <c r="G50" i="2"/>
  <c r="F46" i="2"/>
  <c r="F45" i="2"/>
  <c r="B46" i="2"/>
  <c r="B45" i="2"/>
  <c r="L43" i="2"/>
  <c r="B33" i="3"/>
  <c r="B34" i="3" l="1"/>
  <c r="U43" i="2"/>
  <c r="P50" i="2"/>
  <c r="O46" i="2"/>
  <c r="O45" i="2"/>
  <c r="O50" i="2"/>
  <c r="K46" i="2"/>
  <c r="K45" i="2"/>
  <c r="X50" i="2" l="1"/>
  <c r="Y50" i="2"/>
  <c r="X46" i="2"/>
  <c r="X45" i="2"/>
  <c r="T46" i="2"/>
  <c r="T45" i="2"/>
  <c r="AD43" i="2"/>
  <c r="B35" i="3"/>
  <c r="B36" i="3" l="1"/>
  <c r="AM43" i="2"/>
  <c r="AG50" i="2"/>
  <c r="AC45" i="2"/>
  <c r="AH50" i="2"/>
  <c r="AG46" i="2"/>
  <c r="AG45" i="2"/>
  <c r="AC46" i="2"/>
  <c r="AQ50" i="2" l="1"/>
  <c r="AP46" i="2"/>
  <c r="AP45" i="2"/>
  <c r="AP50" i="2"/>
  <c r="AL46" i="2"/>
  <c r="AL45" i="2"/>
  <c r="AV43" i="2"/>
  <c r="B37" i="3"/>
  <c r="BE43" i="2" l="1"/>
  <c r="B39" i="3"/>
  <c r="AY50" i="2"/>
  <c r="AZ50" i="2"/>
  <c r="AY46" i="2"/>
  <c r="AY45" i="2"/>
  <c r="AU46" i="2"/>
  <c r="AU45" i="2"/>
  <c r="B40" i="3" l="1"/>
  <c r="C53" i="2"/>
  <c r="BH50" i="2"/>
  <c r="BI50" i="2"/>
  <c r="BH46" i="2"/>
  <c r="BH45" i="2"/>
  <c r="BD46" i="2"/>
  <c r="BD45" i="2"/>
  <c r="B56" i="2" l="1"/>
  <c r="G60" i="2"/>
  <c r="F56" i="2"/>
  <c r="F55" i="2"/>
  <c r="F60" i="2"/>
  <c r="B55" i="2"/>
  <c r="B41" i="3"/>
  <c r="L53" i="2"/>
  <c r="P60" i="2" l="1"/>
  <c r="O56" i="2"/>
  <c r="O55" i="2"/>
  <c r="O60" i="2"/>
  <c r="K56" i="2"/>
  <c r="K55" i="2"/>
  <c r="B42" i="3"/>
  <c r="U53" i="2"/>
  <c r="Y60" i="2" l="1"/>
  <c r="X56" i="2"/>
  <c r="X55" i="2"/>
  <c r="X60" i="2"/>
  <c r="T56" i="2"/>
  <c r="T55" i="2"/>
  <c r="AD53" i="2"/>
  <c r="B43" i="3"/>
  <c r="B44" i="3" l="1"/>
  <c r="AM53" i="2"/>
  <c r="AH60" i="2"/>
  <c r="AG56" i="2"/>
  <c r="AG55" i="2"/>
  <c r="AG60" i="2"/>
  <c r="AC56" i="2"/>
  <c r="AC55" i="2"/>
  <c r="AL56" i="2" l="1"/>
  <c r="AQ60" i="2"/>
  <c r="AP56" i="2"/>
  <c r="AP55" i="2"/>
  <c r="AP60" i="2"/>
  <c r="AL55" i="2"/>
  <c r="B45" i="3"/>
  <c r="AV53" i="2"/>
  <c r="AZ60" i="2" l="1"/>
  <c r="AY56" i="2"/>
  <c r="AY55" i="2"/>
  <c r="AY60" i="2"/>
  <c r="AU56" i="2"/>
  <c r="AU55" i="2"/>
  <c r="B47" i="3"/>
  <c r="BE53" i="2"/>
  <c r="B48" i="3" l="1"/>
  <c r="C63" i="2"/>
  <c r="BI60" i="2"/>
  <c r="BH56" i="2"/>
  <c r="BH55" i="2"/>
  <c r="BH60" i="2"/>
  <c r="BD56" i="2"/>
  <c r="BD55" i="2"/>
  <c r="G70" i="2" l="1"/>
  <c r="F66" i="2"/>
  <c r="F65" i="2"/>
  <c r="F70" i="2"/>
  <c r="B66" i="2"/>
  <c r="B65" i="2"/>
  <c r="L63" i="2"/>
  <c r="B49" i="3"/>
  <c r="B50" i="3" l="1"/>
  <c r="U63" i="2"/>
  <c r="P70" i="2"/>
  <c r="O66" i="2"/>
  <c r="O65" i="2"/>
  <c r="O70" i="2"/>
  <c r="K66" i="2"/>
  <c r="K65" i="2"/>
  <c r="Y70" i="2" l="1"/>
  <c r="X66" i="2"/>
  <c r="X65" i="2"/>
  <c r="X70" i="2"/>
  <c r="T66" i="2"/>
  <c r="T65" i="2"/>
  <c r="B51" i="3"/>
  <c r="AD63" i="2"/>
  <c r="AH70" i="2" l="1"/>
  <c r="AG66" i="2"/>
  <c r="AG65" i="2"/>
  <c r="AG70" i="2"/>
  <c r="AC66" i="2"/>
  <c r="AC65" i="2"/>
  <c r="B52" i="3"/>
  <c r="AM63" i="2"/>
  <c r="AQ70" i="2" l="1"/>
  <c r="AP66" i="2"/>
  <c r="AP65" i="2"/>
  <c r="AP70" i="2"/>
  <c r="AL66" i="2"/>
  <c r="AL65" i="2"/>
  <c r="AV63" i="2"/>
  <c r="B53" i="3"/>
  <c r="BE63" i="2" l="1"/>
  <c r="B55" i="3"/>
  <c r="AZ70" i="2"/>
  <c r="AY66" i="2"/>
  <c r="AY65" i="2"/>
  <c r="AY70" i="2"/>
  <c r="AU66" i="2"/>
  <c r="AU65" i="2"/>
  <c r="B56" i="3" l="1"/>
  <c r="C73" i="2"/>
  <c r="BI70" i="2"/>
  <c r="BH66" i="2"/>
  <c r="BH65" i="2"/>
  <c r="BH70" i="2"/>
  <c r="BD66" i="2"/>
  <c r="BD65" i="2"/>
  <c r="G80" i="2" l="1"/>
  <c r="F76" i="2"/>
  <c r="F75" i="2"/>
  <c r="F80" i="2"/>
  <c r="B76" i="2"/>
  <c r="B75" i="2"/>
  <c r="L73" i="2"/>
  <c r="B57" i="3"/>
  <c r="B58" i="3" l="1"/>
  <c r="U73" i="2"/>
  <c r="P80" i="2"/>
  <c r="O76" i="2"/>
  <c r="O75" i="2"/>
  <c r="O80" i="2"/>
  <c r="K76" i="2"/>
  <c r="K75" i="2"/>
  <c r="Y80" i="2" l="1"/>
  <c r="X76" i="2"/>
  <c r="X75" i="2"/>
  <c r="X80" i="2"/>
  <c r="T76" i="2"/>
  <c r="T75" i="2"/>
  <c r="B59" i="3"/>
  <c r="AD73" i="2"/>
  <c r="AH80" i="2" l="1"/>
  <c r="AG76" i="2"/>
  <c r="AG75" i="2"/>
  <c r="AG80" i="2"/>
  <c r="AC76" i="2"/>
  <c r="AC75" i="2"/>
  <c r="B60" i="3"/>
  <c r="AM73" i="2"/>
  <c r="AQ80" i="2" l="1"/>
  <c r="AP76" i="2"/>
  <c r="AP75" i="2"/>
  <c r="AP80" i="2"/>
  <c r="AL76" i="2"/>
  <c r="AL75" i="2"/>
  <c r="AV73" i="2"/>
  <c r="B61" i="3"/>
  <c r="B63" i="3" l="1"/>
  <c r="BE73" i="2"/>
  <c r="AZ80" i="2"/>
  <c r="AY76" i="2"/>
  <c r="AY75" i="2"/>
  <c r="AY80" i="2"/>
  <c r="AU76" i="2"/>
  <c r="AU75" i="2"/>
  <c r="BI80" i="2" l="1"/>
  <c r="BH76" i="2"/>
  <c r="BH75" i="2"/>
  <c r="BH80" i="2"/>
  <c r="BD76" i="2"/>
  <c r="BD75" i="2"/>
  <c r="B64" i="3"/>
  <c r="C83" i="2"/>
  <c r="G90" i="2" l="1"/>
  <c r="F86" i="2"/>
  <c r="F85" i="2"/>
  <c r="F90" i="2"/>
  <c r="B86" i="2"/>
  <c r="B85" i="2"/>
  <c r="L83" i="2"/>
  <c r="B65" i="3"/>
  <c r="B66" i="3" l="1"/>
  <c r="U83" i="2"/>
  <c r="P90" i="2"/>
  <c r="O86" i="2"/>
  <c r="O85" i="2"/>
  <c r="O90" i="2"/>
  <c r="K86" i="2"/>
  <c r="K85" i="2"/>
  <c r="Y90" i="2" l="1"/>
  <c r="X86" i="2"/>
  <c r="X85" i="2"/>
  <c r="X90" i="2"/>
  <c r="T86" i="2"/>
  <c r="T85" i="2"/>
  <c r="B67" i="3"/>
  <c r="AD83" i="2"/>
  <c r="AH90" i="2" l="1"/>
  <c r="AG86" i="2"/>
  <c r="AG85" i="2"/>
  <c r="AG90" i="2"/>
  <c r="AC86" i="2"/>
  <c r="AC85" i="2"/>
  <c r="B68" i="3"/>
  <c r="AM83" i="2"/>
  <c r="AQ90" i="2" l="1"/>
  <c r="AP86" i="2"/>
  <c r="AP85" i="2"/>
  <c r="AP90" i="2"/>
  <c r="AL86" i="2"/>
  <c r="AL85" i="2"/>
  <c r="AV83" i="2"/>
  <c r="B69" i="3"/>
  <c r="B71" i="3" l="1"/>
  <c r="BE83" i="2"/>
  <c r="AZ90" i="2"/>
  <c r="AY86" i="2"/>
  <c r="AY85" i="2"/>
  <c r="AY90" i="2"/>
  <c r="AU86" i="2"/>
  <c r="AU85" i="2"/>
  <c r="BI90" i="2" l="1"/>
  <c r="BH86" i="2"/>
  <c r="BH85" i="2"/>
  <c r="BH90" i="2"/>
  <c r="BD86" i="2"/>
  <c r="BD85" i="2"/>
  <c r="B72" i="3"/>
  <c r="C93" i="2"/>
  <c r="G100" i="2" l="1"/>
  <c r="F96" i="2"/>
  <c r="F95" i="2"/>
  <c r="F100" i="2"/>
  <c r="B96" i="2"/>
  <c r="B95" i="2"/>
  <c r="B73" i="3"/>
  <c r="L93" i="2"/>
  <c r="P100" i="2" l="1"/>
  <c r="O96" i="2"/>
  <c r="O95" i="2"/>
  <c r="O100" i="2"/>
  <c r="K96" i="2"/>
  <c r="K95" i="2"/>
  <c r="B74" i="3"/>
  <c r="U93" i="2"/>
  <c r="Y100" i="2" l="1"/>
  <c r="X96" i="2"/>
  <c r="X95" i="2"/>
  <c r="X100" i="2"/>
  <c r="T96" i="2"/>
  <c r="T95" i="2"/>
  <c r="AD93" i="2"/>
  <c r="B75" i="3"/>
  <c r="B76" i="3" l="1"/>
  <c r="AM93" i="2"/>
  <c r="AH100" i="2"/>
  <c r="AG96" i="2"/>
  <c r="AG95" i="2"/>
  <c r="AG100" i="2"/>
  <c r="AC96" i="2"/>
  <c r="AC95" i="2"/>
  <c r="AQ100" i="2" l="1"/>
  <c r="AP96" i="2"/>
  <c r="AP95" i="2"/>
  <c r="AP100" i="2"/>
  <c r="AL96" i="2"/>
  <c r="AL95" i="2"/>
  <c r="B77" i="3"/>
  <c r="BE93" i="2" s="1"/>
  <c r="AV93" i="2"/>
  <c r="AZ100" i="2" l="1"/>
  <c r="AY96" i="2"/>
  <c r="AY95" i="2"/>
  <c r="AY100" i="2"/>
  <c r="AU96" i="2"/>
  <c r="AU95" i="2"/>
  <c r="BI100" i="2"/>
  <c r="BH96" i="2"/>
  <c r="BH95" i="2"/>
  <c r="BH100" i="2"/>
  <c r="BD96" i="2"/>
  <c r="BD95" i="2"/>
</calcChain>
</file>

<file path=xl/comments1.xml><?xml version="1.0" encoding="utf-8"?>
<comments xmlns="http://schemas.openxmlformats.org/spreadsheetml/2006/main">
  <authors>
    <author>河本　一典</author>
  </authors>
  <commentList>
    <comment ref="E6" authorId="0" shapeId="0">
      <text>
        <r>
          <rPr>
            <sz val="9"/>
            <rFont val="ＭＳ Ｐゴシック"/>
            <family val="3"/>
            <charset val="134"/>
          </rPr>
          <t>HRは、英数半角で下記を入力
Ａ：Ａハイラン
B：Bハイラン
他：ポイント</t>
        </r>
      </text>
    </comment>
    <comment ref="H6" authorId="0" shapeId="0">
      <text>
        <r>
          <rPr>
            <sz val="9"/>
            <rFont val="ＭＳ Ｐゴシック"/>
            <family val="3"/>
            <charset val="134"/>
          </rPr>
          <t xml:space="preserve">河本　一典:
</t>
        </r>
      </text>
    </comment>
  </commentList>
</comments>
</file>

<file path=xl/comments2.xml><?xml version="1.0" encoding="utf-8"?>
<comments xmlns="http://schemas.openxmlformats.org/spreadsheetml/2006/main">
  <authors>
    <author>河本　一典</author>
  </authors>
  <commentList>
    <comment ref="F6" authorId="0" shapeId="0">
      <text>
        <r>
          <rPr>
            <sz val="9"/>
            <rFont val="ＭＳ Ｐゴシック"/>
            <family val="3"/>
            <charset val="134"/>
          </rPr>
          <t>個人賞について
・MVP、VPについては、同勝率かつ同TPの場合は、同チーム内外に限らず確認してください。
・HRについては、個人成績表で確認してください。</t>
        </r>
      </text>
    </comment>
  </commentList>
</comments>
</file>

<file path=xl/sharedStrings.xml><?xml version="1.0" encoding="utf-8"?>
<sst xmlns="http://schemas.openxmlformats.org/spreadsheetml/2006/main" count="1071" uniqueCount="135">
  <si>
    <t>対抗戦名称</t>
  </si>
  <si>
    <t>第</t>
  </si>
  <si>
    <t>回</t>
  </si>
  <si>
    <t>対抗戦</t>
  </si>
  <si>
    <t>開催日</t>
  </si>
  <si>
    <t>会場</t>
  </si>
  <si>
    <t>オーシャンドリーム</t>
    <phoneticPr fontId="2"/>
  </si>
  <si>
    <t>（</t>
  </si>
  <si>
    <t>和歌山</t>
    <rPh sb="0" eb="3">
      <t>ワカヤマ</t>
    </rPh>
    <phoneticPr fontId="2"/>
  </si>
  <si>
    <t>）</t>
  </si>
  <si>
    <t>出場選手</t>
  </si>
  <si>
    <t>前回</t>
  </si>
  <si>
    <t>チーム</t>
  </si>
  <si>
    <t>順位</t>
  </si>
  <si>
    <t>選手名</t>
  </si>
  <si>
    <t>点数</t>
  </si>
  <si>
    <t>WRC</t>
  </si>
  <si>
    <t>杉本　博章</t>
    <rPh sb="0" eb="2">
      <t>スギモト</t>
    </rPh>
    <rPh sb="3" eb="4">
      <t>ヒロ</t>
    </rPh>
    <rPh sb="4" eb="5">
      <t>ショウ</t>
    </rPh>
    <phoneticPr fontId="2"/>
  </si>
  <si>
    <t>末岡　修</t>
    <rPh sb="0" eb="2">
      <t>スエオカ</t>
    </rPh>
    <rPh sb="3" eb="4">
      <t>オサム</t>
    </rPh>
    <phoneticPr fontId="2"/>
  </si>
  <si>
    <t>和田　宗一郎</t>
    <rPh sb="0" eb="2">
      <t>ワダ</t>
    </rPh>
    <rPh sb="3" eb="6">
      <t>ソウイチロウ</t>
    </rPh>
    <phoneticPr fontId="2"/>
  </si>
  <si>
    <t>中本　雅大</t>
    <rPh sb="0" eb="2">
      <t>ナカモト</t>
    </rPh>
    <rPh sb="3" eb="4">
      <t>マサ</t>
    </rPh>
    <rPh sb="4" eb="5">
      <t>ヒロ</t>
    </rPh>
    <phoneticPr fontId="2"/>
  </si>
  <si>
    <t>白戸　玲人</t>
    <rPh sb="0" eb="2">
      <t>シラト</t>
    </rPh>
    <rPh sb="3" eb="4">
      <t>レイ</t>
    </rPh>
    <rPh sb="4" eb="5">
      <t>ニン</t>
    </rPh>
    <phoneticPr fontId="2"/>
  </si>
  <si>
    <t>吉向　翔平</t>
    <rPh sb="0" eb="2">
      <t>キッコウ</t>
    </rPh>
    <rPh sb="3" eb="5">
      <t>ショウヘイ</t>
    </rPh>
    <phoneticPr fontId="2"/>
  </si>
  <si>
    <t>長谷川　進</t>
    <rPh sb="0" eb="3">
      <t>ハセガワ</t>
    </rPh>
    <rPh sb="4" eb="5">
      <t>ススム</t>
    </rPh>
    <phoneticPr fontId="2"/>
  </si>
  <si>
    <t>岩本　剛</t>
    <rPh sb="0" eb="2">
      <t>イワモト</t>
    </rPh>
    <rPh sb="3" eb="4">
      <t>ツヨシ</t>
    </rPh>
    <phoneticPr fontId="2"/>
  </si>
  <si>
    <t>白戸　恭子</t>
    <rPh sb="0" eb="2">
      <t>シラト</t>
    </rPh>
    <rPh sb="3" eb="5">
      <t>キョウコ</t>
    </rPh>
    <phoneticPr fontId="2"/>
  </si>
  <si>
    <t>男性</t>
  </si>
  <si>
    <t>：</t>
  </si>
  <si>
    <t>M</t>
  </si>
  <si>
    <t>点</t>
  </si>
  <si>
    <t>女性</t>
  </si>
  <si>
    <t>W</t>
  </si>
  <si>
    <t>WRC</t>
    <phoneticPr fontId="2"/>
  </si>
  <si>
    <t>かない　けんたろう</t>
    <phoneticPr fontId="2"/>
  </si>
  <si>
    <t>すぎもと　ひろあき</t>
    <phoneticPr fontId="2"/>
  </si>
  <si>
    <t>しらと　れいにん</t>
    <phoneticPr fontId="2"/>
  </si>
  <si>
    <t>きっこう　しょうへい</t>
    <phoneticPr fontId="2"/>
  </si>
  <si>
    <t>すえおか　おさむ</t>
    <phoneticPr fontId="2"/>
  </si>
  <si>
    <t>はせがわ　すすむ</t>
    <phoneticPr fontId="2"/>
  </si>
  <si>
    <t>わだ　そういちろう</t>
    <phoneticPr fontId="2"/>
  </si>
  <si>
    <t>いわもと　つよし</t>
    <phoneticPr fontId="2"/>
  </si>
  <si>
    <t>なかもと　まさひろ</t>
    <phoneticPr fontId="2"/>
  </si>
  <si>
    <t>しらと　きょうこ</t>
    <phoneticPr fontId="2"/>
  </si>
  <si>
    <t xml:space="preserve"> </t>
  </si>
  <si>
    <t>印刷範囲の設定</t>
  </si>
  <si>
    <t>G-No</t>
  </si>
  <si>
    <t>T-No</t>
  </si>
  <si>
    <t>所属</t>
  </si>
  <si>
    <t>氏名</t>
  </si>
  <si>
    <t>得点</t>
  </si>
  <si>
    <t>HR</t>
  </si>
  <si>
    <t>レフリー</t>
  </si>
  <si>
    <t>レフリー：</t>
  </si>
  <si>
    <t>io</t>
  </si>
  <si>
    <t>節</t>
  </si>
  <si>
    <t>所属A</t>
  </si>
  <si>
    <t>選手名A</t>
  </si>
  <si>
    <t>選手名B</t>
  </si>
  <si>
    <t>所属B</t>
  </si>
  <si>
    <t>第1節</t>
  </si>
  <si>
    <t>第2節</t>
  </si>
  <si>
    <t>第3節</t>
  </si>
  <si>
    <t>第１節</t>
  </si>
  <si>
    <t>第２節</t>
  </si>
  <si>
    <t>第３節</t>
  </si>
  <si>
    <t>順</t>
  </si>
  <si>
    <t>HR記録</t>
  </si>
  <si>
    <t>HR_Point</t>
  </si>
  <si>
    <t>Rank</t>
  </si>
  <si>
    <t>クラブ</t>
  </si>
  <si>
    <t>MAX</t>
  </si>
  <si>
    <t>途中経過</t>
  </si>
  <si>
    <t>持点</t>
  </si>
  <si>
    <t>L</t>
  </si>
  <si>
    <t>TP</t>
  </si>
  <si>
    <t>R</t>
  </si>
  <si>
    <t>1G</t>
  </si>
  <si>
    <t>2G</t>
  </si>
  <si>
    <t>3G</t>
  </si>
  <si>
    <t>4G</t>
  </si>
  <si>
    <t>5G</t>
  </si>
  <si>
    <t>6G</t>
  </si>
  <si>
    <t>A</t>
  </si>
  <si>
    <t>B</t>
  </si>
  <si>
    <t>P</t>
  </si>
  <si>
    <t>R_P</t>
  </si>
  <si>
    <t>MVP、VP</t>
  </si>
  <si>
    <t>Total</t>
  </si>
  <si>
    <t>※</t>
  </si>
  <si>
    <t>TPの数字は、ハンデによる換算後の得点を示す。</t>
  </si>
  <si>
    <t>Name</t>
  </si>
  <si>
    <t>LP</t>
  </si>
  <si>
    <t>MVP</t>
  </si>
  <si>
    <t>VP</t>
  </si>
  <si>
    <t>RK</t>
  </si>
  <si>
    <t>(TP)</t>
  </si>
  <si>
    <t>TPの上段（　　）内の数字は、ハンデによる換算をしていない得点を示す。</t>
  </si>
  <si>
    <t>WRC</t>
    <phoneticPr fontId="2"/>
  </si>
  <si>
    <t>森田　憲</t>
    <rPh sb="0" eb="2">
      <t>モリタ</t>
    </rPh>
    <rPh sb="3" eb="4">
      <t>ケン</t>
    </rPh>
    <phoneticPr fontId="2"/>
  </si>
  <si>
    <t>SBC</t>
    <phoneticPr fontId="2"/>
  </si>
  <si>
    <t>大橋　義治</t>
    <rPh sb="0" eb="2">
      <t>オオハシ</t>
    </rPh>
    <rPh sb="3" eb="5">
      <t>ヨシハル</t>
    </rPh>
    <phoneticPr fontId="2"/>
  </si>
  <si>
    <t>おおはし　よしはる</t>
    <phoneticPr fontId="2"/>
  </si>
  <si>
    <t>林　秀忠</t>
    <rPh sb="0" eb="1">
      <t>ハヤシ</t>
    </rPh>
    <rPh sb="2" eb="4">
      <t>ヒデタダ</t>
    </rPh>
    <phoneticPr fontId="2"/>
  </si>
  <si>
    <t>はやし　ひでただ</t>
    <phoneticPr fontId="2"/>
  </si>
  <si>
    <t>西峰　久祐</t>
    <rPh sb="0" eb="2">
      <t>ニシミネ</t>
    </rPh>
    <rPh sb="3" eb="5">
      <t>ヒサヒロ</t>
    </rPh>
    <phoneticPr fontId="2"/>
  </si>
  <si>
    <t>にしみね　ひさひろ</t>
    <phoneticPr fontId="2"/>
  </si>
  <si>
    <t>山中　康裕</t>
    <rPh sb="0" eb="2">
      <t>ヤマナカ</t>
    </rPh>
    <rPh sb="3" eb="5">
      <t>ヤスヒロ</t>
    </rPh>
    <phoneticPr fontId="2"/>
  </si>
  <si>
    <t>やまなか　やすひろ</t>
    <phoneticPr fontId="2"/>
  </si>
  <si>
    <t>柳川　哲也</t>
    <rPh sb="0" eb="2">
      <t>ヤナガワ</t>
    </rPh>
    <rPh sb="3" eb="5">
      <t>テツヤ</t>
    </rPh>
    <phoneticPr fontId="2"/>
  </si>
  <si>
    <t>大橋　正寛</t>
    <rPh sb="0" eb="2">
      <t>オオハシ</t>
    </rPh>
    <rPh sb="3" eb="4">
      <t>マサ</t>
    </rPh>
    <rPh sb="4" eb="5">
      <t>ヒロ</t>
    </rPh>
    <phoneticPr fontId="2"/>
  </si>
  <si>
    <t>おおはし　まさひろ</t>
    <phoneticPr fontId="2"/>
  </si>
  <si>
    <t>大橋　洋子</t>
    <rPh sb="0" eb="2">
      <t>オオハシ</t>
    </rPh>
    <rPh sb="3" eb="5">
      <t>ヨウコ</t>
    </rPh>
    <phoneticPr fontId="2"/>
  </si>
  <si>
    <t>おおはし　ようこ</t>
    <phoneticPr fontId="2"/>
  </si>
  <si>
    <t>植田　慎也</t>
    <rPh sb="0" eb="2">
      <t>ウエダ</t>
    </rPh>
    <rPh sb="3" eb="5">
      <t>シンヤ</t>
    </rPh>
    <phoneticPr fontId="2"/>
  </si>
  <si>
    <t>うえだ　しんや</t>
    <phoneticPr fontId="2"/>
  </si>
  <si>
    <t>斎藤　大輔</t>
    <rPh sb="0" eb="2">
      <t>サイトウ</t>
    </rPh>
    <rPh sb="3" eb="5">
      <t>ダイスケ</t>
    </rPh>
    <phoneticPr fontId="2"/>
  </si>
  <si>
    <t>さいとう　だいすけ</t>
    <phoneticPr fontId="2"/>
  </si>
  <si>
    <t>松房　ゆかり</t>
    <rPh sb="0" eb="2">
      <t>マツフサ</t>
    </rPh>
    <phoneticPr fontId="2"/>
  </si>
  <si>
    <t>まつふさ　ゆかり</t>
    <phoneticPr fontId="2"/>
  </si>
  <si>
    <t>大迫　忠典</t>
    <rPh sb="0" eb="2">
      <t>オオサコ</t>
    </rPh>
    <rPh sb="3" eb="5">
      <t>タダノリ</t>
    </rPh>
    <phoneticPr fontId="2"/>
  </si>
  <si>
    <t>おおさこ　ただのり</t>
    <phoneticPr fontId="2"/>
  </si>
  <si>
    <t>NRC</t>
    <phoneticPr fontId="2"/>
  </si>
  <si>
    <t>SBC</t>
    <phoneticPr fontId="2"/>
  </si>
  <si>
    <t>和奈滋</t>
    <rPh sb="0" eb="1">
      <t>ワ</t>
    </rPh>
    <rPh sb="1" eb="2">
      <t>ナ</t>
    </rPh>
    <rPh sb="2" eb="3">
      <t>ジ</t>
    </rPh>
    <phoneticPr fontId="2"/>
  </si>
  <si>
    <t>w</t>
    <phoneticPr fontId="2"/>
  </si>
  <si>
    <t>w</t>
    <phoneticPr fontId="2"/>
  </si>
  <si>
    <t>w</t>
    <phoneticPr fontId="2"/>
  </si>
  <si>
    <t>やながわ　てつや</t>
    <phoneticPr fontId="2"/>
  </si>
  <si>
    <t>w</t>
    <phoneticPr fontId="2"/>
  </si>
  <si>
    <t>SBC</t>
    <phoneticPr fontId="2"/>
  </si>
  <si>
    <t>大橋　義治</t>
    <rPh sb="0" eb="2">
      <t>オオハシ</t>
    </rPh>
    <rPh sb="3" eb="5">
      <t>ヨシハル</t>
    </rPh>
    <phoneticPr fontId="2"/>
  </si>
  <si>
    <t>WRC</t>
    <phoneticPr fontId="2"/>
  </si>
  <si>
    <t>杉本　博章</t>
    <rPh sb="0" eb="2">
      <t>スギモト</t>
    </rPh>
    <rPh sb="3" eb="4">
      <t>ヒロ</t>
    </rPh>
    <rPh sb="4" eb="5">
      <t>アキ</t>
    </rPh>
    <phoneticPr fontId="2"/>
  </si>
  <si>
    <t>NRC</t>
    <phoneticPr fontId="2"/>
  </si>
  <si>
    <t>吉向　翔平</t>
    <rPh sb="0" eb="2">
      <t>キッコウ</t>
    </rPh>
    <rPh sb="3" eb="5">
      <t>ショウヘイ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</si>
</sst>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3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Ｐゴシック"/>
      <family val="3"/>
      <charset val="134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5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8" fillId="0" borderId="4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 shrinkToFit="1"/>
    </xf>
    <xf numFmtId="0" fontId="0" fillId="0" borderId="5" xfId="0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Continuous" vertical="center" shrinkToFit="1"/>
    </xf>
    <xf numFmtId="0" fontId="0" fillId="0" borderId="21" xfId="0" applyBorder="1" applyAlignment="1">
      <alignment horizontal="centerContinuous" vertic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20" fontId="0" fillId="0" borderId="0" xfId="0" applyNumberFormat="1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shrinkToFit="1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shrinkToFit="1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8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49" xfId="0" applyFont="1" applyBorder="1"/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20" fillId="0" borderId="0" xfId="0" applyFont="1"/>
    <xf numFmtId="0" fontId="7" fillId="0" borderId="0" xfId="0" applyFont="1" applyAlignment="1">
      <alignment horizontal="centerContinuous"/>
    </xf>
    <xf numFmtId="0" fontId="16" fillId="0" borderId="5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15" fillId="0" borderId="32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6" xfId="0" applyFont="1" applyBorder="1" applyAlignment="1">
      <alignment shrinkToFit="1"/>
    </xf>
    <xf numFmtId="0" fontId="18" fillId="0" borderId="64" xfId="0" applyFont="1" applyBorder="1" applyAlignment="1">
      <alignment shrinkToFit="1"/>
    </xf>
    <xf numFmtId="0" fontId="18" fillId="0" borderId="67" xfId="0" applyFont="1" applyBorder="1" applyAlignment="1">
      <alignment shrinkToFit="1"/>
    </xf>
    <xf numFmtId="0" fontId="7" fillId="0" borderId="6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6" fillId="0" borderId="0" xfId="0" applyFont="1"/>
    <xf numFmtId="0" fontId="19" fillId="0" borderId="5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68" xfId="0" applyFont="1" applyBorder="1" applyAlignment="1">
      <alignment shrinkToFit="1"/>
    </xf>
    <xf numFmtId="0" fontId="18" fillId="0" borderId="12" xfId="0" applyFont="1" applyBorder="1" applyAlignment="1">
      <alignment shrinkToFit="1"/>
    </xf>
    <xf numFmtId="0" fontId="18" fillId="0" borderId="40" xfId="0" applyFont="1" applyBorder="1" applyAlignment="1">
      <alignment shrinkToFit="1"/>
    </xf>
    <xf numFmtId="0" fontId="18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8" xfId="0" applyFont="1" applyBorder="1" applyAlignment="1">
      <alignment shrinkToFit="1"/>
    </xf>
    <xf numFmtId="0" fontId="18" fillId="0" borderId="76" xfId="0" applyFont="1" applyBorder="1" applyAlignment="1">
      <alignment shrinkToFit="1"/>
    </xf>
    <xf numFmtId="0" fontId="18" fillId="0" borderId="79" xfId="0" applyFont="1" applyBorder="1" applyAlignment="1">
      <alignment shrinkToFit="1"/>
    </xf>
    <xf numFmtId="0" fontId="7" fillId="0" borderId="78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1" fontId="7" fillId="0" borderId="76" xfId="0" applyNumberFormat="1" applyFont="1" applyBorder="1" applyAlignment="1">
      <alignment horizontal="right"/>
    </xf>
    <xf numFmtId="0" fontId="7" fillId="0" borderId="79" xfId="0" applyFont="1" applyBorder="1" applyAlignment="1">
      <alignment horizontal="right"/>
    </xf>
    <xf numFmtId="0" fontId="16" fillId="0" borderId="48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/>
    <xf numFmtId="0" fontId="18" fillId="0" borderId="82" xfId="0" applyFont="1" applyBorder="1"/>
    <xf numFmtId="0" fontId="18" fillId="0" borderId="83" xfId="0" applyFont="1" applyBorder="1"/>
    <xf numFmtId="0" fontId="7" fillId="0" borderId="88" xfId="0" applyFont="1" applyBorder="1"/>
    <xf numFmtId="0" fontId="7" fillId="0" borderId="86" xfId="0" applyFont="1" applyBorder="1"/>
    <xf numFmtId="0" fontId="7" fillId="0" borderId="89" xfId="0" applyFont="1" applyBorder="1"/>
    <xf numFmtId="0" fontId="15" fillId="0" borderId="33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0" fillId="0" borderId="0" xfId="0" applyFont="1" applyAlignment="1">
      <alignment horizontal="centerContinuous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Continuous" shrinkToFit="1"/>
    </xf>
    <xf numFmtId="0" fontId="13" fillId="0" borderId="0" xfId="0" applyFont="1" applyAlignment="1">
      <alignment horizontal="centerContinuous" shrinkToFit="1"/>
    </xf>
    <xf numFmtId="0" fontId="21" fillId="0" borderId="0" xfId="0" applyFont="1" applyAlignment="1">
      <alignment horizontal="centerContinuous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shrinkToFit="1"/>
    </xf>
    <xf numFmtId="0" fontId="21" fillId="0" borderId="0" xfId="0" applyFont="1" applyAlignment="1">
      <alignment horizontal="center" shrinkToFit="1"/>
    </xf>
    <xf numFmtId="0" fontId="22" fillId="0" borderId="0" xfId="0" applyFont="1"/>
    <xf numFmtId="0" fontId="24" fillId="0" borderId="54" xfId="0" applyFont="1" applyBorder="1" applyAlignment="1">
      <alignment horizontal="centerContinuous" vertical="center" shrinkToFit="1"/>
    </xf>
    <xf numFmtId="0" fontId="23" fillId="0" borderId="28" xfId="0" applyFont="1" applyBorder="1" applyAlignment="1">
      <alignment horizontal="centerContinuous" vertical="center" shrinkToFit="1"/>
    </xf>
    <xf numFmtId="0" fontId="23" fillId="0" borderId="56" xfId="0" applyFont="1" applyBorder="1" applyAlignment="1">
      <alignment horizontal="centerContinuous" vertical="center" shrinkToFit="1"/>
    </xf>
    <xf numFmtId="0" fontId="23" fillId="0" borderId="57" xfId="0" applyFont="1" applyBorder="1" applyAlignment="1">
      <alignment horizontal="centerContinuous" vertical="center" shrinkToFit="1"/>
    </xf>
    <xf numFmtId="0" fontId="23" fillId="0" borderId="55" xfId="0" applyFont="1" applyBorder="1" applyAlignment="1">
      <alignment horizontal="centerContinuous" vertical="center" shrinkToFit="1"/>
    </xf>
    <xf numFmtId="0" fontId="23" fillId="0" borderId="30" xfId="0" applyFont="1" applyBorder="1" applyAlignment="1">
      <alignment horizontal="centerContinuous" vertical="center" shrinkToFit="1"/>
    </xf>
    <xf numFmtId="0" fontId="24" fillId="0" borderId="30" xfId="0" applyFont="1" applyBorder="1" applyAlignment="1">
      <alignment horizontal="centerContinuous" vertical="center" shrinkToFit="1"/>
    </xf>
    <xf numFmtId="0" fontId="23" fillId="0" borderId="32" xfId="0" applyFont="1" applyBorder="1" applyAlignment="1">
      <alignment horizontal="centerContinuous" vertical="center" shrinkToFit="1"/>
    </xf>
    <xf numFmtId="1" fontId="23" fillId="0" borderId="30" xfId="0" applyNumberFormat="1" applyFont="1" applyBorder="1" applyAlignment="1">
      <alignment horizontal="centerContinuous" vertical="center" shrinkToFit="1"/>
    </xf>
    <xf numFmtId="0" fontId="24" fillId="0" borderId="54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Continuous" shrinkToFit="1"/>
    </xf>
    <xf numFmtId="0" fontId="22" fillId="0" borderId="63" xfId="0" applyFont="1" applyBorder="1" applyAlignment="1">
      <alignment horizontal="centerContinuous" shrinkToFit="1"/>
    </xf>
    <xf numFmtId="0" fontId="22" fillId="0" borderId="64" xfId="0" applyFont="1" applyBorder="1" applyAlignment="1">
      <alignment horizontal="centerContinuous" shrinkToFit="1"/>
    </xf>
    <xf numFmtId="0" fontId="4" fillId="0" borderId="64" xfId="0" applyFont="1" applyBorder="1" applyAlignment="1">
      <alignment horizontal="centerContinuous" shrinkToFit="1"/>
    </xf>
    <xf numFmtId="0" fontId="22" fillId="0" borderId="67" xfId="0" applyFont="1" applyBorder="1" applyAlignment="1">
      <alignment horizontal="centerContinuous" shrinkToFit="1"/>
    </xf>
    <xf numFmtId="1" fontId="22" fillId="0" borderId="64" xfId="0" applyNumberFormat="1" applyFont="1" applyBorder="1" applyAlignment="1">
      <alignment horizontal="centerContinuous" shrinkToFit="1"/>
    </xf>
    <xf numFmtId="0" fontId="4" fillId="0" borderId="61" xfId="0" applyFont="1" applyBorder="1" applyAlignment="1">
      <alignment horizontal="center" shrinkToFit="1"/>
    </xf>
    <xf numFmtId="0" fontId="22" fillId="0" borderId="63" xfId="0" applyFont="1" applyBorder="1" applyAlignment="1">
      <alignment shrinkToFit="1"/>
    </xf>
    <xf numFmtId="0" fontId="22" fillId="0" borderId="64" xfId="0" applyFont="1" applyBorder="1" applyAlignment="1">
      <alignment shrinkToFit="1"/>
    </xf>
    <xf numFmtId="0" fontId="22" fillId="0" borderId="64" xfId="0" applyFont="1" applyBorder="1" applyAlignment="1">
      <alignment horizontal="center" shrinkToFit="1"/>
    </xf>
    <xf numFmtId="0" fontId="22" fillId="0" borderId="67" xfId="0" applyFont="1" applyBorder="1" applyAlignment="1">
      <alignment horizontal="center" shrinkToFit="1"/>
    </xf>
    <xf numFmtId="0" fontId="4" fillId="0" borderId="5" xfId="0" applyFont="1" applyBorder="1" applyAlignment="1">
      <alignment horizontal="centerContinuous" shrinkToFit="1"/>
    </xf>
    <xf numFmtId="0" fontId="22" fillId="0" borderId="6" xfId="0" applyFont="1" applyBorder="1" applyAlignment="1">
      <alignment horizontal="centerContinuous" shrinkToFit="1"/>
    </xf>
    <xf numFmtId="0" fontId="22" fillId="0" borderId="12" xfId="0" applyFont="1" applyBorder="1" applyAlignment="1">
      <alignment horizontal="centerContinuous" shrinkToFit="1"/>
    </xf>
    <xf numFmtId="0" fontId="4" fillId="0" borderId="12" xfId="0" applyFont="1" applyBorder="1" applyAlignment="1">
      <alignment horizontal="centerContinuous" shrinkToFit="1"/>
    </xf>
    <xf numFmtId="0" fontId="22" fillId="0" borderId="40" xfId="0" applyFont="1" applyBorder="1" applyAlignment="1">
      <alignment horizontal="centerContinuous" shrinkToFit="1"/>
    </xf>
    <xf numFmtId="1" fontId="22" fillId="0" borderId="12" xfId="0" applyNumberFormat="1" applyFont="1" applyBorder="1" applyAlignment="1">
      <alignment horizontal="centerContinuous" shrinkToFit="1"/>
    </xf>
    <xf numFmtId="0" fontId="4" fillId="0" borderId="5" xfId="0" applyFont="1" applyBorder="1" applyAlignment="1">
      <alignment horizontal="center" shrinkToFit="1"/>
    </xf>
    <xf numFmtId="0" fontId="22" fillId="0" borderId="6" xfId="0" applyFont="1" applyBorder="1" applyAlignment="1">
      <alignment shrinkToFit="1"/>
    </xf>
    <xf numFmtId="0" fontId="22" fillId="0" borderId="12" xfId="0" applyFont="1" applyBorder="1" applyAlignment="1">
      <alignment shrinkToFit="1"/>
    </xf>
    <xf numFmtId="0" fontId="22" fillId="0" borderId="12" xfId="0" applyFont="1" applyBorder="1" applyAlignment="1">
      <alignment horizontal="center" shrinkToFit="1"/>
    </xf>
    <xf numFmtId="0" fontId="22" fillId="0" borderId="40" xfId="0" applyFont="1" applyBorder="1" applyAlignment="1">
      <alignment horizontal="center" shrinkToFit="1"/>
    </xf>
    <xf numFmtId="0" fontId="4" fillId="0" borderId="23" xfId="0" applyFont="1" applyBorder="1" applyAlignment="1">
      <alignment horizontal="centerContinuous" shrinkToFit="1"/>
    </xf>
    <xf numFmtId="0" fontId="22" fillId="0" borderId="85" xfId="0" applyFont="1" applyBorder="1" applyAlignment="1">
      <alignment horizontal="centerContinuous" shrinkToFit="1"/>
    </xf>
    <xf numFmtId="0" fontId="22" fillId="0" borderId="86" xfId="0" applyFont="1" applyBorder="1" applyAlignment="1">
      <alignment horizontal="centerContinuous" shrinkToFit="1"/>
    </xf>
    <xf numFmtId="0" fontId="4" fillId="0" borderId="86" xfId="0" applyFont="1" applyBorder="1" applyAlignment="1">
      <alignment horizontal="centerContinuous" shrinkToFit="1"/>
    </xf>
    <xf numFmtId="0" fontId="22" fillId="0" borderId="89" xfId="0" applyFont="1" applyBorder="1" applyAlignment="1">
      <alignment horizontal="centerContinuous" shrinkToFit="1"/>
    </xf>
    <xf numFmtId="1" fontId="22" fillId="0" borderId="86" xfId="0" applyNumberFormat="1" applyFont="1" applyBorder="1" applyAlignment="1">
      <alignment horizontal="centerContinuous" shrinkToFit="1"/>
    </xf>
    <xf numFmtId="0" fontId="4" fillId="0" borderId="23" xfId="0" applyFont="1" applyBorder="1" applyAlignment="1">
      <alignment horizontal="center" shrinkToFit="1"/>
    </xf>
    <xf numFmtId="0" fontId="22" fillId="0" borderId="85" xfId="0" applyFont="1" applyBorder="1" applyAlignment="1">
      <alignment shrinkToFit="1"/>
    </xf>
    <xf numFmtId="0" fontId="22" fillId="0" borderId="86" xfId="0" applyFont="1" applyBorder="1" applyAlignment="1">
      <alignment shrinkToFit="1"/>
    </xf>
    <xf numFmtId="0" fontId="22" fillId="0" borderId="86" xfId="0" applyFont="1" applyBorder="1" applyAlignment="1">
      <alignment horizontal="center" shrinkToFit="1"/>
    </xf>
    <xf numFmtId="0" fontId="22" fillId="0" borderId="89" xfId="0" applyFont="1" applyBorder="1" applyAlignment="1">
      <alignment horizontal="center" shrinkToFit="1"/>
    </xf>
    <xf numFmtId="0" fontId="22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1" fontId="22" fillId="0" borderId="0" xfId="0" applyNumberFormat="1" applyFont="1" applyAlignment="1">
      <alignment horizontal="centerContinuous" shrinkToFit="1"/>
    </xf>
    <xf numFmtId="0" fontId="22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22" fillId="0" borderId="0" xfId="0" applyFont="1" applyAlignment="1">
      <alignment horizontal="center" shrinkToFit="1"/>
    </xf>
    <xf numFmtId="1" fontId="4" fillId="0" borderId="64" xfId="0" applyNumberFormat="1" applyFont="1" applyBorder="1" applyAlignment="1">
      <alignment horizontal="centerContinuous" shrinkToFit="1"/>
    </xf>
    <xf numFmtId="0" fontId="0" fillId="0" borderId="0" xfId="0" applyFont="1" applyAlignment="1">
      <alignment horizontal="left" shrinkToFit="1"/>
    </xf>
    <xf numFmtId="0" fontId="17" fillId="0" borderId="0" xfId="0" applyFont="1" applyAlignment="1">
      <alignment horizontal="left" shrinkToFit="1"/>
    </xf>
    <xf numFmtId="0" fontId="22" fillId="0" borderId="0" xfId="0" applyFont="1" applyAlignment="1">
      <alignment horizontal="left" shrinkToFit="1"/>
    </xf>
    <xf numFmtId="0" fontId="17" fillId="0" borderId="0" xfId="0" applyFont="1" applyAlignment="1">
      <alignment horizontal="centerContinuous" shrinkToFit="1"/>
    </xf>
    <xf numFmtId="0" fontId="17" fillId="0" borderId="0" xfId="0" applyFont="1" applyAlignment="1">
      <alignment shrinkToFi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1" xfId="0" applyBorder="1" applyAlignment="1">
      <alignment vertical="center"/>
    </xf>
    <xf numFmtId="0" fontId="28" fillId="0" borderId="99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8" xfId="0" applyBorder="1" applyAlignment="1">
      <alignment vertical="center"/>
    </xf>
    <xf numFmtId="0" fontId="29" fillId="0" borderId="112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17" fillId="0" borderId="119" xfId="0" applyFont="1" applyBorder="1" applyAlignment="1">
      <alignment vertical="center"/>
    </xf>
    <xf numFmtId="0" fontId="17" fillId="0" borderId="118" xfId="0" applyFont="1" applyBorder="1" applyAlignment="1">
      <alignment vertical="center"/>
    </xf>
    <xf numFmtId="0" fontId="17" fillId="0" borderId="114" xfId="0" applyFont="1" applyBorder="1"/>
    <xf numFmtId="0" fontId="17" fillId="0" borderId="0" xfId="0" applyFont="1" applyBorder="1"/>
    <xf numFmtId="0" fontId="17" fillId="0" borderId="99" xfId="0" applyFont="1" applyBorder="1"/>
    <xf numFmtId="176" fontId="32" fillId="0" borderId="0" xfId="0" applyNumberFormat="1" applyFont="1" applyBorder="1" applyAlignment="1">
      <alignment horizontal="center" vertical="center"/>
    </xf>
    <xf numFmtId="176" fontId="32" fillId="0" borderId="4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87" xfId="0" applyFont="1" applyBorder="1" applyAlignment="1">
      <alignment horizontal="right" vertical="center"/>
    </xf>
    <xf numFmtId="0" fontId="18" fillId="0" borderId="85" xfId="0" applyFont="1" applyBorder="1" applyAlignment="1">
      <alignment horizontal="right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9" fillId="0" borderId="87" xfId="0" applyFont="1" applyBorder="1" applyAlignment="1">
      <alignment horizontal="right" vertical="center"/>
    </xf>
    <xf numFmtId="0" fontId="19" fillId="0" borderId="85" xfId="0" applyFont="1" applyBorder="1" applyAlignment="1">
      <alignment horizontal="right" vertical="center"/>
    </xf>
    <xf numFmtId="0" fontId="18" fillId="0" borderId="77" xfId="0" applyFont="1" applyBorder="1" applyAlignment="1">
      <alignment horizontal="right" vertical="center"/>
    </xf>
    <xf numFmtId="0" fontId="18" fillId="0" borderId="7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/>
    </xf>
    <xf numFmtId="0" fontId="19" fillId="0" borderId="77" xfId="0" applyFont="1" applyBorder="1" applyAlignment="1">
      <alignment horizontal="right" vertical="center"/>
    </xf>
    <xf numFmtId="0" fontId="19" fillId="0" borderId="75" xfId="0" applyFont="1" applyBorder="1" applyAlignment="1">
      <alignment horizontal="right" vertical="center"/>
    </xf>
    <xf numFmtId="0" fontId="18" fillId="0" borderId="7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9" fillId="0" borderId="65" xfId="0" applyFont="1" applyBorder="1" applyAlignment="1">
      <alignment horizontal="right" vertical="center"/>
    </xf>
    <xf numFmtId="0" fontId="19" fillId="0" borderId="63" xfId="0" applyFont="1" applyBorder="1" applyAlignment="1">
      <alignment horizontal="right" vertical="center"/>
    </xf>
    <xf numFmtId="0" fontId="18" fillId="0" borderId="65" xfId="0" applyFont="1" applyBorder="1" applyAlignment="1">
      <alignment horizontal="right" vertical="center"/>
    </xf>
    <xf numFmtId="0" fontId="18" fillId="0" borderId="62" xfId="0" applyFont="1" applyBorder="1" applyAlignment="1">
      <alignment horizontal="right" vertical="center"/>
    </xf>
    <xf numFmtId="0" fontId="18" fillId="0" borderId="63" xfId="0" applyFont="1" applyBorder="1" applyAlignment="1">
      <alignment horizontal="right" vertical="center"/>
    </xf>
    <xf numFmtId="0" fontId="15" fillId="0" borderId="28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textRotation="255"/>
    </xf>
    <xf numFmtId="0" fontId="12" fillId="0" borderId="60" xfId="0" applyFont="1" applyBorder="1" applyAlignment="1">
      <alignment horizontal="center" vertical="center" textRotation="255"/>
    </xf>
    <xf numFmtId="0" fontId="12" fillId="0" borderId="80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1" fontId="18" fillId="0" borderId="4" xfId="0" applyNumberFormat="1" applyFont="1" applyBorder="1" applyAlignment="1">
      <alignment horizontal="right" vertical="center"/>
    </xf>
    <xf numFmtId="1" fontId="18" fillId="0" borderId="6" xfId="0" applyNumberFormat="1" applyFont="1" applyBorder="1" applyAlignment="1">
      <alignment horizontal="right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right" vertical="center"/>
    </xf>
    <xf numFmtId="1" fontId="19" fillId="0" borderId="6" xfId="0" applyNumberFormat="1" applyFont="1" applyBorder="1" applyAlignment="1">
      <alignment horizontal="right" vertical="center"/>
    </xf>
    <xf numFmtId="14" fontId="18" fillId="0" borderId="0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shrinkToFit="1"/>
    </xf>
    <xf numFmtId="0" fontId="22" fillId="0" borderId="23" xfId="0" applyFont="1" applyBorder="1" applyAlignment="1">
      <alignment horizontal="left" shrinkToFit="1"/>
    </xf>
    <xf numFmtId="0" fontId="22" fillId="0" borderId="22" xfId="0" applyFont="1" applyBorder="1" applyAlignment="1">
      <alignment horizontal="center" shrinkToFit="1"/>
    </xf>
    <xf numFmtId="0" fontId="22" fillId="0" borderId="24" xfId="0" applyFont="1" applyBorder="1" applyAlignment="1">
      <alignment horizontal="center" shrinkToFit="1"/>
    </xf>
    <xf numFmtId="0" fontId="22" fillId="0" borderId="26" xfId="0" applyFont="1" applyBorder="1" applyAlignment="1">
      <alignment horizontal="center" shrinkToFit="1"/>
    </xf>
    <xf numFmtId="0" fontId="22" fillId="0" borderId="96" xfId="0" applyFont="1" applyBorder="1" applyAlignment="1">
      <alignment horizontal="center" shrinkToFit="1"/>
    </xf>
    <xf numFmtId="0" fontId="22" fillId="0" borderId="97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2" fillId="0" borderId="94" xfId="0" applyFont="1" applyBorder="1" applyAlignment="1">
      <alignment horizontal="center" shrinkToFit="1"/>
    </xf>
    <xf numFmtId="0" fontId="22" fillId="0" borderId="95" xfId="0" applyFont="1" applyBorder="1" applyAlignment="1">
      <alignment horizontal="center" shrinkToFit="1"/>
    </xf>
    <xf numFmtId="0" fontId="22" fillId="0" borderId="4" xfId="0" applyFont="1" applyBorder="1" applyAlignment="1">
      <alignment horizontal="center" shrinkToFit="1"/>
    </xf>
    <xf numFmtId="0" fontId="22" fillId="0" borderId="21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left" shrinkToFit="1"/>
    </xf>
    <xf numFmtId="0" fontId="22" fillId="0" borderId="5" xfId="0" applyFont="1" applyBorder="1" applyAlignment="1">
      <alignment horizontal="left" shrinkToFit="1"/>
    </xf>
    <xf numFmtId="0" fontId="22" fillId="0" borderId="20" xfId="0" applyFont="1" applyBorder="1" applyAlignment="1">
      <alignment horizontal="center" shrinkToFit="1"/>
    </xf>
    <xf numFmtId="0" fontId="22" fillId="0" borderId="6" xfId="0" applyFont="1" applyBorder="1" applyAlignment="1">
      <alignment horizontal="center" shrinkToFit="1"/>
    </xf>
    <xf numFmtId="0" fontId="4" fillId="0" borderId="65" xfId="0" applyFont="1" applyBorder="1" applyAlignment="1">
      <alignment horizontal="center" shrinkToFit="1"/>
    </xf>
    <xf numFmtId="0" fontId="4" fillId="0" borderId="63" xfId="0" applyFont="1" applyBorder="1" applyAlignment="1">
      <alignment horizont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left" shrinkToFit="1"/>
    </xf>
    <xf numFmtId="0" fontId="22" fillId="0" borderId="61" xfId="0" applyFont="1" applyBorder="1" applyAlignment="1">
      <alignment horizontal="left" shrinkToFit="1"/>
    </xf>
    <xf numFmtId="0" fontId="22" fillId="0" borderId="92" xfId="0" applyFont="1" applyBorder="1" applyAlignment="1">
      <alignment horizontal="center" shrinkToFit="1"/>
    </xf>
    <xf numFmtId="0" fontId="22" fillId="0" borderId="93" xfId="0" applyFont="1" applyBorder="1" applyAlignment="1">
      <alignment horizontal="center" shrinkToFit="1"/>
    </xf>
    <xf numFmtId="0" fontId="22" fillId="0" borderId="65" xfId="0" applyFont="1" applyBorder="1" applyAlignment="1">
      <alignment horizontal="center" shrinkToFit="1"/>
    </xf>
    <xf numFmtId="0" fontId="22" fillId="0" borderId="63" xfId="0" applyFont="1" applyBorder="1" applyAlignment="1">
      <alignment horizontal="center" shrinkToFit="1"/>
    </xf>
    <xf numFmtId="0" fontId="22" fillId="0" borderId="62" xfId="0" applyFont="1" applyBorder="1" applyAlignment="1">
      <alignment horizont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shrinkToFit="1"/>
    </xf>
    <xf numFmtId="0" fontId="23" fillId="0" borderId="56" xfId="0" applyFont="1" applyBorder="1" applyAlignment="1">
      <alignment horizontal="center" shrinkToFit="1"/>
    </xf>
    <xf numFmtId="0" fontId="22" fillId="0" borderId="4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" shrinkToFit="1"/>
    </xf>
    <xf numFmtId="14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22" fillId="0" borderId="48" xfId="0" applyFont="1" applyBorder="1" applyAlignment="1">
      <alignment horizontal="center" shrinkToFit="1"/>
    </xf>
    <xf numFmtId="0" fontId="9" fillId="0" borderId="2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112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0" fillId="0" borderId="99" xfId="0" applyBorder="1"/>
    <xf numFmtId="0" fontId="0" fillId="0" borderId="106" xfId="0" applyBorder="1"/>
    <xf numFmtId="0" fontId="0" fillId="0" borderId="112" xfId="0" applyBorder="1"/>
    <xf numFmtId="0" fontId="0" fillId="0" borderId="0" xfId="0"/>
    <xf numFmtId="0" fontId="0" fillId="0" borderId="70" xfId="0" applyBorder="1"/>
    <xf numFmtId="0" fontId="31" fillId="0" borderId="108" xfId="0" applyFont="1" applyBorder="1" applyAlignment="1">
      <alignment horizontal="center" vertical="center"/>
    </xf>
    <xf numFmtId="0" fontId="31" fillId="0" borderId="103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176" fontId="31" fillId="0" borderId="112" xfId="0" applyNumberFormat="1" applyFont="1" applyBorder="1" applyAlignment="1">
      <alignment horizontal="center" vertical="center"/>
    </xf>
    <xf numFmtId="176" fontId="31" fillId="0" borderId="0" xfId="0" applyNumberFormat="1" applyFont="1" applyBorder="1" applyAlignment="1">
      <alignment horizontal="center" vertical="center"/>
    </xf>
    <xf numFmtId="176" fontId="31" fillId="0" borderId="70" xfId="0" applyNumberFormat="1" applyFont="1" applyBorder="1" applyAlignment="1">
      <alignment horizontal="center" vertical="center"/>
    </xf>
    <xf numFmtId="176" fontId="31" fillId="0" borderId="87" xfId="0" applyNumberFormat="1" applyFont="1" applyBorder="1" applyAlignment="1">
      <alignment horizontal="center" vertical="center"/>
    </xf>
    <xf numFmtId="176" fontId="31" fillId="0" borderId="48" xfId="0" applyNumberFormat="1" applyFont="1" applyBorder="1" applyAlignment="1">
      <alignment horizontal="center" vertical="center"/>
    </xf>
    <xf numFmtId="176" fontId="31" fillId="0" borderId="85" xfId="0" applyNumberFormat="1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114" xfId="0" applyFont="1" applyBorder="1" applyAlignment="1">
      <alignment horizontal="center" vertical="center"/>
    </xf>
    <xf numFmtId="0" fontId="31" fillId="0" borderId="115" xfId="0" applyFont="1" applyBorder="1" applyAlignment="1">
      <alignment horizontal="center" vertical="center"/>
    </xf>
    <xf numFmtId="0" fontId="31" fillId="0" borderId="116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0" fillId="0" borderId="114" xfId="0" applyBorder="1"/>
    <xf numFmtId="0" fontId="0" fillId="0" borderId="115" xfId="0" applyBorder="1"/>
    <xf numFmtId="0" fontId="31" fillId="0" borderId="117" xfId="0" applyFont="1" applyBorder="1" applyAlignment="1">
      <alignment horizontal="center" vertical="center"/>
    </xf>
    <xf numFmtId="0" fontId="30" fillId="0" borderId="113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30" fillId="0" borderId="109" xfId="0" applyFont="1" applyBorder="1" applyAlignment="1">
      <alignment horizontal="center" vertical="center"/>
    </xf>
    <xf numFmtId="0" fontId="30" fillId="0" borderId="110" xfId="0" applyFont="1" applyBorder="1" applyAlignment="1">
      <alignment horizontal="center" vertical="center"/>
    </xf>
    <xf numFmtId="0" fontId="30" fillId="0" borderId="118" xfId="0" applyFont="1" applyBorder="1" applyAlignment="1">
      <alignment horizontal="center" vertical="center"/>
    </xf>
    <xf numFmtId="0" fontId="30" fillId="0" borderId="116" xfId="0" applyFont="1" applyBorder="1" applyAlignment="1">
      <alignment horizontal="center" vertical="center"/>
    </xf>
    <xf numFmtId="0" fontId="30" fillId="0" borderId="117" xfId="0" applyFont="1" applyBorder="1" applyAlignment="1">
      <alignment horizontal="center" vertical="center"/>
    </xf>
    <xf numFmtId="0" fontId="30" fillId="0" borderId="119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25" fillId="0" borderId="11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99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112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0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4</xdr:row>
      <xdr:rowOff>0</xdr:rowOff>
    </xdr:from>
    <xdr:to>
      <xdr:col>4</xdr:col>
      <xdr:colOff>200025</xdr:colOff>
      <xdr:row>4</xdr:row>
      <xdr:rowOff>381000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51447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4</xdr:row>
      <xdr:rowOff>0</xdr:rowOff>
    </xdr:from>
    <xdr:to>
      <xdr:col>2</xdr:col>
      <xdr:colOff>371475</xdr:colOff>
      <xdr:row>4</xdr:row>
      <xdr:rowOff>381000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37147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</xdr:colOff>
      <xdr:row>4</xdr:row>
      <xdr:rowOff>0</xdr:rowOff>
    </xdr:from>
    <xdr:to>
      <xdr:col>6</xdr:col>
      <xdr:colOff>314325</xdr:colOff>
      <xdr:row>4</xdr:row>
      <xdr:rowOff>381000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294322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9525</xdr:colOff>
      <xdr:row>4</xdr:row>
      <xdr:rowOff>0</xdr:rowOff>
    </xdr:from>
    <xdr:to>
      <xdr:col>4</xdr:col>
      <xdr:colOff>200025</xdr:colOff>
      <xdr:row>4</xdr:row>
      <xdr:rowOff>381000</xdr:rowOff>
    </xdr:to>
    <xdr:pic>
      <xdr:nvPicPr>
        <xdr:cNvPr id="5" name="CommandButton1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4</xdr:row>
      <xdr:rowOff>0</xdr:rowOff>
    </xdr:from>
    <xdr:to>
      <xdr:col>2</xdr:col>
      <xdr:colOff>371475</xdr:colOff>
      <xdr:row>4</xdr:row>
      <xdr:rowOff>381000</xdr:rowOff>
    </xdr:to>
    <xdr:pic>
      <xdr:nvPicPr>
        <xdr:cNvPr id="6" name="CommandButton2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4</xdr:row>
      <xdr:rowOff>0</xdr:rowOff>
    </xdr:from>
    <xdr:to>
      <xdr:col>6</xdr:col>
      <xdr:colOff>314325</xdr:colOff>
      <xdr:row>4</xdr:row>
      <xdr:rowOff>381000</xdr:rowOff>
    </xdr:to>
    <xdr:pic>
      <xdr:nvPicPr>
        <xdr:cNvPr id="7" name="CommandButton3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762000"/>
          <a:ext cx="847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66675</xdr:rowOff>
    </xdr:from>
    <xdr:to>
      <xdr:col>13</xdr:col>
      <xdr:colOff>85725</xdr:colOff>
      <xdr:row>11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24075" y="1990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20</xdr:row>
      <xdr:rowOff>66675</xdr:rowOff>
    </xdr:from>
    <xdr:to>
      <xdr:col>13</xdr:col>
      <xdr:colOff>85725</xdr:colOff>
      <xdr:row>21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124075" y="3952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20</xdr:row>
      <xdr:rowOff>66675</xdr:rowOff>
    </xdr:from>
    <xdr:to>
      <xdr:col>13</xdr:col>
      <xdr:colOff>85725</xdr:colOff>
      <xdr:row>21</xdr:row>
      <xdr:rowOff>85725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24075" y="3952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66675</xdr:rowOff>
    </xdr:from>
    <xdr:to>
      <xdr:col>13</xdr:col>
      <xdr:colOff>85725</xdr:colOff>
      <xdr:row>31</xdr:row>
      <xdr:rowOff>85725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24075" y="5915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30</xdr:row>
      <xdr:rowOff>66675</xdr:rowOff>
    </xdr:from>
    <xdr:to>
      <xdr:col>13</xdr:col>
      <xdr:colOff>85725</xdr:colOff>
      <xdr:row>31</xdr:row>
      <xdr:rowOff>85725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124075" y="5915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zoomScaleNormal="100" workbookViewId="0"/>
  </sheetViews>
  <sheetFormatPr defaultRowHeight="17.25" x14ac:dyDescent="0.15"/>
  <cols>
    <col min="1" max="5" width="4.625" style="1" customWidth="1"/>
    <col min="6" max="6" width="5.625" style="1" customWidth="1"/>
    <col min="7" max="8" width="4.625" style="1" customWidth="1"/>
    <col min="9" max="9" width="5.625" style="1" customWidth="1"/>
    <col min="10" max="11" width="4.625" style="1" customWidth="1"/>
    <col min="12" max="12" width="5.625" style="1" customWidth="1"/>
    <col min="13" max="14" width="4.625" style="1" customWidth="1"/>
    <col min="15" max="15" width="5.625" style="1" customWidth="1"/>
    <col min="16" max="17" width="4.625" style="1" customWidth="1"/>
    <col min="18" max="18" width="5.625" style="1" customWidth="1"/>
    <col min="19" max="20" width="4.625" style="1" customWidth="1"/>
    <col min="21" max="21" width="5.625" style="1" customWidth="1"/>
    <col min="22" max="23" width="4.625" style="1" customWidth="1"/>
    <col min="24" max="24" width="5.625" style="1" customWidth="1"/>
    <col min="25" max="26" width="4.625" style="1" customWidth="1"/>
    <col min="27" max="27" width="5.625" style="1" customWidth="1"/>
    <col min="28" max="30" width="4.625" style="1" customWidth="1"/>
    <col min="31" max="16384" width="9" style="1"/>
  </cols>
  <sheetData>
    <row r="2" spans="1:30" ht="24" customHeight="1" x14ac:dyDescent="0.15">
      <c r="A2" s="1" t="s">
        <v>0</v>
      </c>
      <c r="D2" s="2" t="s">
        <v>1</v>
      </c>
      <c r="E2" s="3">
        <v>17</v>
      </c>
      <c r="F2" s="1" t="s">
        <v>2</v>
      </c>
      <c r="G2" s="301" t="s">
        <v>123</v>
      </c>
      <c r="H2" s="301"/>
      <c r="I2" s="4" t="s">
        <v>3</v>
      </c>
    </row>
    <row r="4" spans="1:30" ht="24" customHeight="1" x14ac:dyDescent="0.15">
      <c r="A4" s="1" t="s">
        <v>4</v>
      </c>
      <c r="D4" s="302">
        <v>43765</v>
      </c>
      <c r="E4" s="301"/>
      <c r="F4" s="301"/>
      <c r="G4" s="301"/>
      <c r="I4" s="5"/>
    </row>
    <row r="6" spans="1:30" ht="24" customHeight="1" x14ac:dyDescent="0.15">
      <c r="A6" s="1" t="s">
        <v>5</v>
      </c>
      <c r="D6" s="301" t="s">
        <v>6</v>
      </c>
      <c r="E6" s="301"/>
      <c r="F6" s="301"/>
      <c r="G6" s="301"/>
      <c r="H6" s="301"/>
      <c r="I6" s="301"/>
      <c r="J6" s="2" t="s">
        <v>7</v>
      </c>
      <c r="K6" s="303" t="s">
        <v>8</v>
      </c>
      <c r="L6" s="303"/>
      <c r="M6" s="1" t="s">
        <v>9</v>
      </c>
    </row>
    <row r="8" spans="1:30" ht="24" customHeight="1" x14ac:dyDescent="0.15">
      <c r="A8" s="1" t="s">
        <v>10</v>
      </c>
      <c r="AD8" s="6"/>
    </row>
    <row r="9" spans="1:30" ht="24" customHeight="1" x14ac:dyDescent="0.15">
      <c r="A9" s="7" t="s">
        <v>11</v>
      </c>
      <c r="B9" s="304" t="s">
        <v>12</v>
      </c>
      <c r="C9" s="305"/>
      <c r="D9" s="289">
        <v>1</v>
      </c>
      <c r="E9" s="290"/>
      <c r="F9" s="291"/>
      <c r="G9" s="289">
        <v>2</v>
      </c>
      <c r="H9" s="290"/>
      <c r="I9" s="291"/>
      <c r="J9" s="289">
        <v>3</v>
      </c>
      <c r="K9" s="290"/>
      <c r="L9" s="291"/>
      <c r="M9" s="289">
        <v>4</v>
      </c>
      <c r="N9" s="290"/>
      <c r="O9" s="291"/>
      <c r="P9" s="289">
        <v>5</v>
      </c>
      <c r="Q9" s="290"/>
      <c r="R9" s="291"/>
      <c r="S9" s="289">
        <v>6</v>
      </c>
      <c r="T9" s="290"/>
      <c r="U9" s="291"/>
      <c r="V9" s="289">
        <v>7</v>
      </c>
      <c r="W9" s="290"/>
      <c r="X9" s="291"/>
      <c r="Y9" s="289">
        <v>8</v>
      </c>
      <c r="Z9" s="290"/>
      <c r="AA9" s="291"/>
      <c r="AD9" s="6"/>
    </row>
    <row r="10" spans="1:30" ht="24" customHeight="1" x14ac:dyDescent="0.15">
      <c r="A10" s="7" t="s">
        <v>13</v>
      </c>
      <c r="B10" s="306"/>
      <c r="C10" s="307"/>
      <c r="D10" s="299" t="s">
        <v>14</v>
      </c>
      <c r="E10" s="300"/>
      <c r="F10" s="8" t="s">
        <v>15</v>
      </c>
      <c r="G10" s="299" t="s">
        <v>14</v>
      </c>
      <c r="H10" s="300"/>
      <c r="I10" s="8" t="s">
        <v>15</v>
      </c>
      <c r="J10" s="299" t="s">
        <v>14</v>
      </c>
      <c r="K10" s="300"/>
      <c r="L10" s="8" t="s">
        <v>15</v>
      </c>
      <c r="M10" s="299" t="s">
        <v>14</v>
      </c>
      <c r="N10" s="300"/>
      <c r="O10" s="8" t="s">
        <v>15</v>
      </c>
      <c r="P10" s="299" t="s">
        <v>14</v>
      </c>
      <c r="Q10" s="300"/>
      <c r="R10" s="8" t="s">
        <v>15</v>
      </c>
      <c r="S10" s="299" t="s">
        <v>14</v>
      </c>
      <c r="T10" s="300"/>
      <c r="U10" s="8" t="s">
        <v>15</v>
      </c>
      <c r="V10" s="299" t="s">
        <v>14</v>
      </c>
      <c r="W10" s="300"/>
      <c r="X10" s="8" t="s">
        <v>15</v>
      </c>
      <c r="Y10" s="299" t="s">
        <v>14</v>
      </c>
      <c r="Z10" s="300"/>
      <c r="AA10" s="8" t="s">
        <v>15</v>
      </c>
      <c r="AD10" s="6"/>
    </row>
    <row r="11" spans="1:30" ht="24" customHeight="1" x14ac:dyDescent="0.15">
      <c r="A11" s="7"/>
      <c r="B11" s="292" t="s">
        <v>16</v>
      </c>
      <c r="C11" s="292"/>
      <c r="D11" s="295" t="s">
        <v>98</v>
      </c>
      <c r="E11" s="296"/>
      <c r="F11" s="9">
        <v>180</v>
      </c>
      <c r="G11" s="295" t="s">
        <v>19</v>
      </c>
      <c r="H11" s="296"/>
      <c r="I11" s="9">
        <v>180</v>
      </c>
      <c r="J11" s="295" t="s">
        <v>17</v>
      </c>
      <c r="K11" s="296"/>
      <c r="L11" s="9">
        <v>180</v>
      </c>
      <c r="M11" s="295" t="s">
        <v>18</v>
      </c>
      <c r="N11" s="296"/>
      <c r="O11" s="9">
        <v>180</v>
      </c>
      <c r="P11" s="295" t="s">
        <v>20</v>
      </c>
      <c r="Q11" s="296"/>
      <c r="R11" s="9">
        <v>180</v>
      </c>
      <c r="S11" s="295" t="s">
        <v>119</v>
      </c>
      <c r="T11" s="296"/>
      <c r="U11" s="9">
        <v>180</v>
      </c>
      <c r="V11" s="295" t="s">
        <v>117</v>
      </c>
      <c r="W11" s="296"/>
      <c r="X11" s="9">
        <v>140</v>
      </c>
      <c r="Y11" s="297"/>
      <c r="Z11" s="298"/>
      <c r="AA11" s="10">
        <v>180</v>
      </c>
      <c r="AD11" s="6"/>
    </row>
    <row r="12" spans="1:30" ht="24" customHeight="1" x14ac:dyDescent="0.15">
      <c r="A12" s="7"/>
      <c r="B12" s="292" t="s">
        <v>121</v>
      </c>
      <c r="C12" s="292"/>
      <c r="D12" s="295" t="s">
        <v>21</v>
      </c>
      <c r="E12" s="296"/>
      <c r="F12" s="9">
        <v>180</v>
      </c>
      <c r="G12" s="295" t="s">
        <v>22</v>
      </c>
      <c r="H12" s="296"/>
      <c r="I12" s="9">
        <v>180</v>
      </c>
      <c r="J12" s="295" t="s">
        <v>113</v>
      </c>
      <c r="K12" s="296"/>
      <c r="L12" s="9">
        <v>180</v>
      </c>
      <c r="M12" s="295" t="s">
        <v>24</v>
      </c>
      <c r="N12" s="296"/>
      <c r="O12" s="9">
        <v>180</v>
      </c>
      <c r="P12" s="295" t="s">
        <v>115</v>
      </c>
      <c r="Q12" s="296"/>
      <c r="R12" s="9">
        <v>180</v>
      </c>
      <c r="S12" s="295" t="s">
        <v>23</v>
      </c>
      <c r="T12" s="296"/>
      <c r="U12" s="9">
        <v>180</v>
      </c>
      <c r="V12" s="295" t="s">
        <v>25</v>
      </c>
      <c r="W12" s="296"/>
      <c r="X12" s="9">
        <v>140</v>
      </c>
      <c r="Y12" s="293"/>
      <c r="Z12" s="294"/>
      <c r="AA12" s="10">
        <v>140</v>
      </c>
      <c r="AD12" s="6"/>
    </row>
    <row r="13" spans="1:30" ht="24" customHeight="1" x14ac:dyDescent="0.15">
      <c r="A13" s="7"/>
      <c r="B13" s="292" t="s">
        <v>122</v>
      </c>
      <c r="C13" s="292"/>
      <c r="D13" s="295" t="s">
        <v>100</v>
      </c>
      <c r="E13" s="296"/>
      <c r="F13" s="9">
        <v>180</v>
      </c>
      <c r="G13" s="295" t="s">
        <v>102</v>
      </c>
      <c r="H13" s="296"/>
      <c r="I13" s="9">
        <v>180</v>
      </c>
      <c r="J13" s="295" t="s">
        <v>104</v>
      </c>
      <c r="K13" s="296"/>
      <c r="L13" s="9">
        <v>180</v>
      </c>
      <c r="M13" s="295" t="s">
        <v>106</v>
      </c>
      <c r="N13" s="296"/>
      <c r="O13" s="9">
        <v>180</v>
      </c>
      <c r="P13" s="295" t="s">
        <v>108</v>
      </c>
      <c r="Q13" s="296"/>
      <c r="R13" s="9">
        <v>180</v>
      </c>
      <c r="S13" s="295" t="s">
        <v>109</v>
      </c>
      <c r="T13" s="296"/>
      <c r="U13" s="9">
        <v>180</v>
      </c>
      <c r="V13" s="295" t="s">
        <v>111</v>
      </c>
      <c r="W13" s="296"/>
      <c r="X13" s="9">
        <v>140</v>
      </c>
      <c r="Y13" s="297"/>
      <c r="Z13" s="298"/>
      <c r="AA13" s="10">
        <v>140</v>
      </c>
    </row>
    <row r="14" spans="1:30" x14ac:dyDescent="0.15">
      <c r="AA14" s="11"/>
    </row>
    <row r="15" spans="1:30" ht="24" customHeight="1" x14ac:dyDescent="0.15">
      <c r="A15" s="1" t="s">
        <v>15</v>
      </c>
      <c r="D15" s="288" t="s">
        <v>26</v>
      </c>
      <c r="E15" s="288"/>
      <c r="F15" s="12" t="s">
        <v>27</v>
      </c>
      <c r="G15" s="12" t="s">
        <v>28</v>
      </c>
      <c r="H15" s="12"/>
      <c r="I15" s="3">
        <v>180</v>
      </c>
      <c r="J15" s="1" t="s">
        <v>29</v>
      </c>
      <c r="K15" s="12"/>
    </row>
    <row r="16" spans="1:30" ht="24" customHeight="1" x14ac:dyDescent="0.2">
      <c r="D16" s="288" t="s">
        <v>30</v>
      </c>
      <c r="E16" s="288"/>
      <c r="F16" s="12" t="s">
        <v>27</v>
      </c>
      <c r="G16" s="12" t="s">
        <v>31</v>
      </c>
      <c r="H16" s="12"/>
      <c r="I16" s="13">
        <v>140</v>
      </c>
      <c r="J16" s="1" t="s">
        <v>29</v>
      </c>
      <c r="K16" s="12"/>
      <c r="L16" s="14"/>
      <c r="M16" s="15"/>
      <c r="N16" s="15"/>
      <c r="O16" s="15"/>
      <c r="P16" s="15"/>
      <c r="Q16" s="16"/>
      <c r="R16" s="17"/>
    </row>
    <row r="17" spans="3:24" ht="24" customHeight="1" x14ac:dyDescent="0.2">
      <c r="L17" s="14"/>
      <c r="M17" s="15"/>
      <c r="N17" s="15"/>
      <c r="O17" s="15"/>
      <c r="P17" s="15"/>
      <c r="Q17" s="16"/>
      <c r="R17" s="17"/>
    </row>
    <row r="18" spans="3:24" ht="24" customHeight="1" x14ac:dyDescent="0.15">
      <c r="C18" s="18"/>
      <c r="D18" s="289" t="s">
        <v>97</v>
      </c>
      <c r="E18" s="290"/>
      <c r="F18" s="290"/>
      <c r="G18" s="290"/>
      <c r="H18" s="290"/>
      <c r="I18" s="290"/>
      <c r="J18" s="291"/>
      <c r="K18" s="292" t="s">
        <v>32</v>
      </c>
      <c r="L18" s="292"/>
      <c r="M18" s="292"/>
      <c r="N18" s="292"/>
      <c r="O18" s="292"/>
      <c r="P18" s="292"/>
      <c r="Q18" s="292"/>
      <c r="R18" s="292" t="s">
        <v>99</v>
      </c>
      <c r="S18" s="292"/>
      <c r="T18" s="292"/>
      <c r="U18" s="292"/>
      <c r="V18" s="292"/>
      <c r="W18" s="292"/>
      <c r="X18" s="292"/>
    </row>
    <row r="19" spans="3:24" ht="24" customHeight="1" x14ac:dyDescent="0.15">
      <c r="C19" s="18">
        <v>1</v>
      </c>
      <c r="D19" s="285" t="s">
        <v>98</v>
      </c>
      <c r="E19" s="286"/>
      <c r="F19" s="287"/>
      <c r="G19" s="285" t="s">
        <v>33</v>
      </c>
      <c r="H19" s="286"/>
      <c r="I19" s="286"/>
      <c r="J19" s="287"/>
      <c r="K19" s="285" t="s">
        <v>21</v>
      </c>
      <c r="L19" s="286"/>
      <c r="M19" s="287"/>
      <c r="N19" s="285" t="s">
        <v>35</v>
      </c>
      <c r="O19" s="286"/>
      <c r="P19" s="286"/>
      <c r="Q19" s="287"/>
      <c r="R19" s="284" t="s">
        <v>100</v>
      </c>
      <c r="S19" s="284"/>
      <c r="T19" s="284"/>
      <c r="U19" s="284" t="s">
        <v>101</v>
      </c>
      <c r="V19" s="284"/>
      <c r="W19" s="284"/>
      <c r="X19" s="284"/>
    </row>
    <row r="20" spans="3:24" ht="24" customHeight="1" x14ac:dyDescent="0.15">
      <c r="C20" s="18">
        <v>2</v>
      </c>
      <c r="D20" s="284" t="s">
        <v>19</v>
      </c>
      <c r="E20" s="284"/>
      <c r="F20" s="284"/>
      <c r="G20" s="284" t="s">
        <v>39</v>
      </c>
      <c r="H20" s="284"/>
      <c r="I20" s="284"/>
      <c r="J20" s="284"/>
      <c r="K20" s="284" t="s">
        <v>22</v>
      </c>
      <c r="L20" s="284"/>
      <c r="M20" s="284"/>
      <c r="N20" s="284" t="s">
        <v>36</v>
      </c>
      <c r="O20" s="284"/>
      <c r="P20" s="284"/>
      <c r="Q20" s="284"/>
      <c r="R20" s="284" t="s">
        <v>102</v>
      </c>
      <c r="S20" s="284"/>
      <c r="T20" s="284"/>
      <c r="U20" s="284" t="s">
        <v>103</v>
      </c>
      <c r="V20" s="284"/>
      <c r="W20" s="284"/>
      <c r="X20" s="284"/>
    </row>
    <row r="21" spans="3:24" ht="24" customHeight="1" x14ac:dyDescent="0.15">
      <c r="C21" s="18">
        <v>3</v>
      </c>
      <c r="D21" s="284" t="s">
        <v>17</v>
      </c>
      <c r="E21" s="284"/>
      <c r="F21" s="284"/>
      <c r="G21" s="284" t="s">
        <v>34</v>
      </c>
      <c r="H21" s="284"/>
      <c r="I21" s="284"/>
      <c r="J21" s="284"/>
      <c r="K21" s="284" t="s">
        <v>113</v>
      </c>
      <c r="L21" s="284"/>
      <c r="M21" s="284"/>
      <c r="N21" s="284" t="s">
        <v>114</v>
      </c>
      <c r="O21" s="284"/>
      <c r="P21" s="284"/>
      <c r="Q21" s="284"/>
      <c r="R21" s="284" t="s">
        <v>104</v>
      </c>
      <c r="S21" s="284"/>
      <c r="T21" s="284"/>
      <c r="U21" s="284" t="s">
        <v>105</v>
      </c>
      <c r="V21" s="284"/>
      <c r="W21" s="284"/>
      <c r="X21" s="284"/>
    </row>
    <row r="22" spans="3:24" ht="24" customHeight="1" x14ac:dyDescent="0.15">
      <c r="C22" s="18">
        <v>4</v>
      </c>
      <c r="D22" s="284" t="s">
        <v>18</v>
      </c>
      <c r="E22" s="284"/>
      <c r="F22" s="284"/>
      <c r="G22" s="284" t="s">
        <v>37</v>
      </c>
      <c r="H22" s="284"/>
      <c r="I22" s="284"/>
      <c r="J22" s="284"/>
      <c r="K22" s="284" t="s">
        <v>24</v>
      </c>
      <c r="L22" s="284"/>
      <c r="M22" s="284"/>
      <c r="N22" s="284" t="s">
        <v>40</v>
      </c>
      <c r="O22" s="284"/>
      <c r="P22" s="284"/>
      <c r="Q22" s="284"/>
      <c r="R22" s="284" t="s">
        <v>106</v>
      </c>
      <c r="S22" s="284"/>
      <c r="T22" s="284"/>
      <c r="U22" s="284" t="s">
        <v>107</v>
      </c>
      <c r="V22" s="284"/>
      <c r="W22" s="284"/>
      <c r="X22" s="284"/>
    </row>
    <row r="23" spans="3:24" ht="24" customHeight="1" x14ac:dyDescent="0.15">
      <c r="C23" s="18">
        <v>5</v>
      </c>
      <c r="D23" s="284" t="s">
        <v>20</v>
      </c>
      <c r="E23" s="284"/>
      <c r="F23" s="284"/>
      <c r="G23" s="284" t="s">
        <v>41</v>
      </c>
      <c r="H23" s="284"/>
      <c r="I23" s="284"/>
      <c r="J23" s="284"/>
      <c r="K23" s="284" t="s">
        <v>115</v>
      </c>
      <c r="L23" s="284"/>
      <c r="M23" s="284"/>
      <c r="N23" s="284" t="s">
        <v>116</v>
      </c>
      <c r="O23" s="284"/>
      <c r="P23" s="284"/>
      <c r="Q23" s="284"/>
      <c r="R23" s="284" t="s">
        <v>108</v>
      </c>
      <c r="S23" s="284"/>
      <c r="T23" s="284"/>
      <c r="U23" s="284" t="s">
        <v>127</v>
      </c>
      <c r="V23" s="284"/>
      <c r="W23" s="284"/>
      <c r="X23" s="284"/>
    </row>
    <row r="24" spans="3:24" ht="24" customHeight="1" x14ac:dyDescent="0.15">
      <c r="C24" s="18">
        <v>6</v>
      </c>
      <c r="D24" s="285" t="s">
        <v>119</v>
      </c>
      <c r="E24" s="286"/>
      <c r="F24" s="287"/>
      <c r="G24" s="285" t="s">
        <v>120</v>
      </c>
      <c r="H24" s="286"/>
      <c r="I24" s="286"/>
      <c r="J24" s="287"/>
      <c r="K24" s="284" t="s">
        <v>23</v>
      </c>
      <c r="L24" s="284"/>
      <c r="M24" s="284"/>
      <c r="N24" s="284" t="s">
        <v>38</v>
      </c>
      <c r="O24" s="284"/>
      <c r="P24" s="284"/>
      <c r="Q24" s="284"/>
      <c r="R24" s="284" t="s">
        <v>109</v>
      </c>
      <c r="S24" s="284"/>
      <c r="T24" s="284"/>
      <c r="U24" s="284" t="s">
        <v>110</v>
      </c>
      <c r="V24" s="284"/>
      <c r="W24" s="284"/>
      <c r="X24" s="284"/>
    </row>
    <row r="25" spans="3:24" ht="24" customHeight="1" x14ac:dyDescent="0.15">
      <c r="C25" s="18">
        <v>7</v>
      </c>
      <c r="D25" s="285" t="s">
        <v>117</v>
      </c>
      <c r="E25" s="286"/>
      <c r="F25" s="287"/>
      <c r="G25" s="285" t="s">
        <v>118</v>
      </c>
      <c r="H25" s="286"/>
      <c r="I25" s="286"/>
      <c r="J25" s="287"/>
      <c r="K25" s="284" t="s">
        <v>25</v>
      </c>
      <c r="L25" s="284"/>
      <c r="M25" s="284"/>
      <c r="N25" s="284" t="s">
        <v>42</v>
      </c>
      <c r="O25" s="284"/>
      <c r="P25" s="284"/>
      <c r="Q25" s="284"/>
      <c r="R25" s="284" t="s">
        <v>111</v>
      </c>
      <c r="S25" s="284"/>
      <c r="T25" s="284"/>
      <c r="U25" s="284" t="s">
        <v>112</v>
      </c>
      <c r="V25" s="284"/>
      <c r="W25" s="284"/>
      <c r="X25" s="284"/>
    </row>
    <row r="26" spans="3:24" ht="24" customHeight="1" x14ac:dyDescent="0.15">
      <c r="C26" s="18">
        <v>8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</row>
    <row r="27" spans="3:24" ht="24" customHeight="1" x14ac:dyDescent="0.15"/>
  </sheetData>
  <mergeCells count="101">
    <mergeCell ref="G2:H2"/>
    <mergeCell ref="D4:G4"/>
    <mergeCell ref="D6:I6"/>
    <mergeCell ref="K6:L6"/>
    <mergeCell ref="B9:C10"/>
    <mergeCell ref="D9:F9"/>
    <mergeCell ref="G9:I9"/>
    <mergeCell ref="J9:L9"/>
    <mergeCell ref="M9:O9"/>
    <mergeCell ref="P9:R9"/>
    <mergeCell ref="S9:U9"/>
    <mergeCell ref="V9:X9"/>
    <mergeCell ref="Y9:AA9"/>
    <mergeCell ref="D10:E10"/>
    <mergeCell ref="G10:H10"/>
    <mergeCell ref="J10:K10"/>
    <mergeCell ref="M10:N10"/>
    <mergeCell ref="P10:Q10"/>
    <mergeCell ref="S10:T10"/>
    <mergeCell ref="V10:W10"/>
    <mergeCell ref="Y10:Z10"/>
    <mergeCell ref="B11:C11"/>
    <mergeCell ref="D11:E11"/>
    <mergeCell ref="G11:H11"/>
    <mergeCell ref="J11:K11"/>
    <mergeCell ref="M11:N11"/>
    <mergeCell ref="P11:Q11"/>
    <mergeCell ref="S11:T11"/>
    <mergeCell ref="V11:W11"/>
    <mergeCell ref="Y11:Z11"/>
    <mergeCell ref="B12:C12"/>
    <mergeCell ref="D12:E12"/>
    <mergeCell ref="G12:H12"/>
    <mergeCell ref="J12:K12"/>
    <mergeCell ref="M12:N12"/>
    <mergeCell ref="P12:Q12"/>
    <mergeCell ref="S12:T12"/>
    <mergeCell ref="V12:W12"/>
    <mergeCell ref="Y12:Z12"/>
    <mergeCell ref="B13:C13"/>
    <mergeCell ref="D13:E13"/>
    <mergeCell ref="G13:H13"/>
    <mergeCell ref="J13:K13"/>
    <mergeCell ref="M13:N13"/>
    <mergeCell ref="P13:Q13"/>
    <mergeCell ref="S13:T13"/>
    <mergeCell ref="V13:W13"/>
    <mergeCell ref="Y13:Z13"/>
    <mergeCell ref="U19:X19"/>
    <mergeCell ref="D20:F20"/>
    <mergeCell ref="G20:J20"/>
    <mergeCell ref="K20:M20"/>
    <mergeCell ref="N20:Q20"/>
    <mergeCell ref="R20:T20"/>
    <mergeCell ref="U20:X20"/>
    <mergeCell ref="D15:E15"/>
    <mergeCell ref="D16:E16"/>
    <mergeCell ref="D18:J18"/>
    <mergeCell ref="K18:Q18"/>
    <mergeCell ref="R18:X18"/>
    <mergeCell ref="D19:F19"/>
    <mergeCell ref="G19:J19"/>
    <mergeCell ref="K19:M19"/>
    <mergeCell ref="N19:Q19"/>
    <mergeCell ref="R19:T19"/>
    <mergeCell ref="D22:F22"/>
    <mergeCell ref="G22:J22"/>
    <mergeCell ref="K22:M22"/>
    <mergeCell ref="N22:Q22"/>
    <mergeCell ref="R22:T22"/>
    <mergeCell ref="U22:X22"/>
    <mergeCell ref="D21:F21"/>
    <mergeCell ref="G21:J21"/>
    <mergeCell ref="K21:M21"/>
    <mergeCell ref="N21:Q21"/>
    <mergeCell ref="R21:T21"/>
    <mergeCell ref="U21:X21"/>
    <mergeCell ref="D24:F24"/>
    <mergeCell ref="G24:J24"/>
    <mergeCell ref="K24:M24"/>
    <mergeCell ref="N24:Q24"/>
    <mergeCell ref="R24:T24"/>
    <mergeCell ref="U24:X24"/>
    <mergeCell ref="D23:F23"/>
    <mergeCell ref="G23:J23"/>
    <mergeCell ref="K23:M23"/>
    <mergeCell ref="N23:Q23"/>
    <mergeCell ref="R23:T23"/>
    <mergeCell ref="U23:X23"/>
    <mergeCell ref="D26:F26"/>
    <mergeCell ref="G26:J26"/>
    <mergeCell ref="K26:M26"/>
    <mergeCell ref="N26:Q26"/>
    <mergeCell ref="R26:T26"/>
    <mergeCell ref="U26:X26"/>
    <mergeCell ref="D25:F25"/>
    <mergeCell ref="G25:J25"/>
    <mergeCell ref="K25:M25"/>
    <mergeCell ref="N25:Q25"/>
    <mergeCell ref="R25:T25"/>
    <mergeCell ref="U25:X25"/>
  </mergeCells>
  <phoneticPr fontId="2"/>
  <dataValidations count="1">
    <dataValidation type="list" allowBlank="1" showInputMessage="1" showErrorMessage="1" sqref="AA11:AA13 F11:F13 L11:L13 O11:O13 R11:R13 U11:U13 X11:X13 I11:I13">
      <formula1>点数</formula1>
    </dataValidation>
  </dataValidations>
  <pageMargins left="0.59027777777777779" right="0.59027777777777779" top="0.98402777777777772" bottom="0.98402777777777772" header="0.51111111111111107" footer="0.51111111111111107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T105"/>
  <sheetViews>
    <sheetView view="pageBreakPreview" topLeftCell="A19" zoomScaleNormal="100" zoomScaleSheetLayoutView="100" workbookViewId="0">
      <selection activeCell="K12" sqref="K12:P13"/>
    </sheetView>
  </sheetViews>
  <sheetFormatPr defaultColWidth="9" defaultRowHeight="15" customHeight="1" x14ac:dyDescent="0.15"/>
  <cols>
    <col min="1" max="1" width="2.5" customWidth="1"/>
    <col min="2" max="8" width="8.625" customWidth="1"/>
    <col min="9" max="10" width="2.5" customWidth="1"/>
    <col min="11" max="17" width="8.625" customWidth="1"/>
    <col min="18" max="19" width="2.5" customWidth="1"/>
    <col min="20" max="26" width="8.625" customWidth="1"/>
    <col min="27" max="28" width="2.5" customWidth="1"/>
    <col min="29" max="35" width="8.625" customWidth="1"/>
    <col min="36" max="37" width="2.5" customWidth="1"/>
    <col min="38" max="44" width="8.625" customWidth="1"/>
    <col min="45" max="46" width="2.5" customWidth="1"/>
    <col min="47" max="53" width="8.625" customWidth="1"/>
    <col min="54" max="55" width="2.5" customWidth="1"/>
    <col min="56" max="62" width="8.625" customWidth="1"/>
    <col min="63" max="64" width="2.5" customWidth="1"/>
    <col min="65" max="71" width="8.625" customWidth="1"/>
    <col min="72" max="72" width="2.5" customWidth="1"/>
  </cols>
  <sheetData>
    <row r="1" spans="2:72" ht="15" customHeight="1" x14ac:dyDescent="0.15">
      <c r="J1" t="s">
        <v>43</v>
      </c>
      <c r="K1" s="19" t="str">
        <f>【結果】個人成績表!$A$1</f>
        <v>第17回　和奈滋対抗戦　　　(和歌山；オーシャンドリーム)</v>
      </c>
      <c r="L1" s="20"/>
      <c r="M1" s="20"/>
      <c r="N1" s="20"/>
      <c r="O1" s="20"/>
      <c r="P1" s="20"/>
      <c r="Q1" s="21"/>
    </row>
    <row r="3" spans="2:72" ht="15" customHeight="1" x14ac:dyDescent="0.2">
      <c r="B3" t="s">
        <v>44</v>
      </c>
      <c r="J3" s="22"/>
      <c r="K3" s="23" t="s">
        <v>45</v>
      </c>
      <c r="L3" s="24"/>
      <c r="M3" s="22"/>
      <c r="N3" s="22"/>
      <c r="O3" s="23" t="s">
        <v>46</v>
      </c>
      <c r="P3" s="24"/>
      <c r="Q3" s="22"/>
    </row>
    <row r="5" spans="2:72" ht="31.5" customHeight="1" x14ac:dyDescent="0.15">
      <c r="K5" s="25"/>
      <c r="L5" s="26"/>
      <c r="M5" s="27"/>
      <c r="N5" s="28" t="s">
        <v>47</v>
      </c>
      <c r="O5" s="29"/>
      <c r="P5" s="26"/>
      <c r="Q5" s="30"/>
    </row>
    <row r="6" spans="2:72" ht="46.5" customHeight="1" x14ac:dyDescent="0.15">
      <c r="K6" s="31"/>
      <c r="L6" s="32"/>
      <c r="M6" s="33"/>
      <c r="N6" s="34" t="s">
        <v>48</v>
      </c>
      <c r="O6" s="35"/>
      <c r="P6" s="32"/>
      <c r="Q6" s="36"/>
    </row>
    <row r="7" spans="2:72" ht="37.5" customHeight="1" x14ac:dyDescent="0.15">
      <c r="K7" s="37"/>
      <c r="L7" s="32"/>
      <c r="M7" s="33"/>
      <c r="N7" s="34" t="s">
        <v>49</v>
      </c>
      <c r="O7" s="38"/>
      <c r="P7" s="32"/>
      <c r="Q7" s="36"/>
    </row>
    <row r="8" spans="2:72" ht="37.5" customHeight="1" thickBot="1" x14ac:dyDescent="0.2">
      <c r="K8" s="39"/>
      <c r="L8" s="40"/>
      <c r="M8" s="41"/>
      <c r="N8" s="42" t="s">
        <v>50</v>
      </c>
      <c r="O8" s="43"/>
      <c r="P8" s="40"/>
      <c r="Q8" s="44"/>
    </row>
    <row r="10" spans="2:72" ht="15" customHeight="1" x14ac:dyDescent="0.2">
      <c r="M10" s="23"/>
      <c r="N10" s="23"/>
      <c r="O10" s="15" t="s">
        <v>51</v>
      </c>
      <c r="P10" s="24"/>
      <c r="Q10" s="24"/>
    </row>
    <row r="11" spans="2:72" ht="15" customHeight="1" x14ac:dyDescent="0.15">
      <c r="B11" s="19" t="str">
        <f>【結果】個人成績表!$A$1</f>
        <v>第17回　和奈滋対抗戦　　　(和歌山；オーシャンドリーム)</v>
      </c>
      <c r="C11" s="20"/>
      <c r="D11" s="20"/>
      <c r="E11" s="20"/>
      <c r="F11" s="20"/>
      <c r="G11" s="20"/>
      <c r="H11" s="21"/>
      <c r="K11" s="19" t="str">
        <f>【結果】個人成績表!$A$1</f>
        <v>第17回　和奈滋対抗戦　　　(和歌山；オーシャンドリーム)</v>
      </c>
      <c r="L11" s="20"/>
      <c r="M11" s="20"/>
      <c r="N11" s="20"/>
      <c r="O11" s="20"/>
      <c r="P11" s="20"/>
      <c r="Q11" s="21"/>
      <c r="T11" s="19" t="str">
        <f>【結果】個人成績表!$A$1</f>
        <v>第17回　和奈滋対抗戦　　　(和歌山；オーシャンドリーム)</v>
      </c>
      <c r="U11" s="20"/>
      <c r="V11" s="20"/>
      <c r="W11" s="20"/>
      <c r="X11" s="20"/>
      <c r="Y11" s="20"/>
      <c r="Z11" s="21"/>
      <c r="AC11" s="19" t="str">
        <f>【結果】個人成績表!$A$1</f>
        <v>第17回　和奈滋対抗戦　　　(和歌山；オーシャンドリーム)</v>
      </c>
      <c r="AD11" s="20"/>
      <c r="AE11" s="20"/>
      <c r="AF11" s="20"/>
      <c r="AG11" s="20"/>
      <c r="AH11" s="20"/>
      <c r="AI11" s="21"/>
      <c r="AL11" s="19" t="str">
        <f>【結果】個人成績表!$A$1</f>
        <v>第17回　和奈滋対抗戦　　　(和歌山；オーシャンドリーム)</v>
      </c>
      <c r="AM11" s="20"/>
      <c r="AN11" s="20"/>
      <c r="AO11" s="20"/>
      <c r="AP11" s="20"/>
      <c r="AQ11" s="20"/>
      <c r="AR11" s="21"/>
      <c r="AU11" s="19" t="str">
        <f>【結果】個人成績表!$A$1</f>
        <v>第17回　和奈滋対抗戦　　　(和歌山；オーシャンドリーム)</v>
      </c>
      <c r="AV11" s="20"/>
      <c r="AW11" s="20"/>
      <c r="AX11" s="20"/>
      <c r="AY11" s="20"/>
      <c r="AZ11" s="20"/>
      <c r="BA11" s="21"/>
      <c r="BD11" s="19" t="str">
        <f>【結果】個人成績表!$A$1</f>
        <v>第17回　和奈滋対抗戦　　　(和歌山；オーシャンドリーム)</v>
      </c>
      <c r="BE11" s="20"/>
      <c r="BF11" s="20"/>
      <c r="BG11" s="20"/>
      <c r="BH11" s="20"/>
      <c r="BI11" s="20"/>
      <c r="BJ11" s="21"/>
      <c r="BM11" s="19" t="str">
        <f>【結果】個人成績表!$A$1</f>
        <v>第17回　和奈滋対抗戦　　　(和歌山；オーシャンドリーム)</v>
      </c>
      <c r="BN11" s="20"/>
      <c r="BO11" s="20"/>
      <c r="BP11" s="20"/>
      <c r="BQ11" s="20"/>
      <c r="BR11" s="20"/>
      <c r="BS11" s="21"/>
      <c r="BT11" t="s">
        <v>43</v>
      </c>
    </row>
    <row r="13" spans="2:72" s="22" customFormat="1" ht="15" customHeight="1" x14ac:dyDescent="0.2">
      <c r="B13" s="23" t="s">
        <v>45</v>
      </c>
      <c r="C13" s="24">
        <f>【進行】結果入力表!B7</f>
        <v>1</v>
      </c>
      <c r="F13" s="23" t="s">
        <v>46</v>
      </c>
      <c r="G13" s="24"/>
      <c r="K13" s="23" t="s">
        <v>45</v>
      </c>
      <c r="L13" s="24">
        <f>【進行】結果入力表!B8</f>
        <v>2</v>
      </c>
      <c r="O13" s="23" t="s">
        <v>46</v>
      </c>
      <c r="P13" s="24"/>
      <c r="T13" s="23" t="s">
        <v>45</v>
      </c>
      <c r="U13" s="24">
        <f>【進行】結果入力表!B9</f>
        <v>3</v>
      </c>
      <c r="X13" s="23" t="s">
        <v>46</v>
      </c>
      <c r="Y13" s="24"/>
      <c r="AC13" s="23" t="s">
        <v>45</v>
      </c>
      <c r="AD13" s="24">
        <f>【進行】結果入力表!B10</f>
        <v>4</v>
      </c>
      <c r="AG13" s="23" t="s">
        <v>46</v>
      </c>
      <c r="AH13" s="24"/>
      <c r="AL13" s="23" t="s">
        <v>45</v>
      </c>
      <c r="AM13" s="24">
        <f>【進行】結果入力表!B11</f>
        <v>5</v>
      </c>
      <c r="AP13" s="23" t="s">
        <v>46</v>
      </c>
      <c r="AQ13" s="24"/>
      <c r="AU13" s="23" t="s">
        <v>45</v>
      </c>
      <c r="AV13" s="24">
        <f>【進行】結果入力表!B12</f>
        <v>6</v>
      </c>
      <c r="AY13" s="23" t="s">
        <v>46</v>
      </c>
      <c r="AZ13" s="24"/>
      <c r="BD13" s="23" t="s">
        <v>45</v>
      </c>
      <c r="BE13" s="24">
        <f>【進行】結果入力表!B13</f>
        <v>7</v>
      </c>
      <c r="BH13" s="23" t="s">
        <v>46</v>
      </c>
      <c r="BI13" s="24"/>
      <c r="BM13" s="23" t="s">
        <v>45</v>
      </c>
      <c r="BN13" s="24" t="str">
        <f>【進行】結果入力表!B14</f>
        <v/>
      </c>
      <c r="BQ13" s="23" t="s">
        <v>46</v>
      </c>
      <c r="BR13" s="24"/>
    </row>
    <row r="15" spans="2:72" ht="31.5" customHeight="1" x14ac:dyDescent="0.15">
      <c r="B15" s="25" t="str">
        <f>VLOOKUP(C13,【進行】結果入力表!$B$7:$J$78,2,FALSE)</f>
        <v>WRC</v>
      </c>
      <c r="C15" s="26"/>
      <c r="D15" s="27"/>
      <c r="E15" s="28" t="s">
        <v>47</v>
      </c>
      <c r="F15" s="29" t="str">
        <f>VLOOKUP(C13,【進行】結果入力表!$B$7:$J$78,9,FALSE)</f>
        <v>SBC</v>
      </c>
      <c r="G15" s="26"/>
      <c r="H15" s="30"/>
      <c r="K15" s="25" t="str">
        <f>VLOOKUP(L13,【進行】結果入力表!$B$7:$J$78,2,FALSE)</f>
        <v>WRC</v>
      </c>
      <c r="L15" s="26"/>
      <c r="M15" s="27"/>
      <c r="N15" s="28" t="s">
        <v>47</v>
      </c>
      <c r="O15" s="29" t="str">
        <f>VLOOKUP(L13,【進行】結果入力表!$B$7:$J$78,9,FALSE)</f>
        <v>SBC</v>
      </c>
      <c r="P15" s="26"/>
      <c r="Q15" s="30"/>
      <c r="T15" s="25" t="str">
        <f>VLOOKUP(U13,【進行】結果入力表!$B$7:$J$78,2,FALSE)</f>
        <v>WRC</v>
      </c>
      <c r="U15" s="26"/>
      <c r="V15" s="27"/>
      <c r="W15" s="28" t="s">
        <v>47</v>
      </c>
      <c r="X15" s="29" t="str">
        <f>VLOOKUP(U13,【進行】結果入力表!$B$7:$J$78,9,FALSE)</f>
        <v>SBC</v>
      </c>
      <c r="Y15" s="26"/>
      <c r="Z15" s="30"/>
      <c r="AC15" s="25" t="str">
        <f>VLOOKUP(AD13,【進行】結果入力表!$B$7:$J$78,2,FALSE)</f>
        <v>WRC</v>
      </c>
      <c r="AD15" s="26"/>
      <c r="AE15" s="27"/>
      <c r="AF15" s="28" t="s">
        <v>47</v>
      </c>
      <c r="AG15" s="29" t="str">
        <f>VLOOKUP(AD13,【進行】結果入力表!$B$7:$J$78,9,FALSE)</f>
        <v>SBC</v>
      </c>
      <c r="AH15" s="26"/>
      <c r="AI15" s="30"/>
      <c r="AL15" s="25" t="str">
        <f>VLOOKUP(AM13,【進行】結果入力表!$B$7:$J$78,2,FALSE)</f>
        <v>WRC</v>
      </c>
      <c r="AM15" s="26"/>
      <c r="AN15" s="27"/>
      <c r="AO15" s="28" t="s">
        <v>47</v>
      </c>
      <c r="AP15" s="29" t="str">
        <f>VLOOKUP(AM13,【進行】結果入力表!$B$7:$J$78,9,FALSE)</f>
        <v>SBC</v>
      </c>
      <c r="AQ15" s="26"/>
      <c r="AR15" s="30"/>
      <c r="AU15" s="25" t="str">
        <f>VLOOKUP(AV13,【進行】結果入力表!$B$7:$J$78,2,FALSE)</f>
        <v>WRC</v>
      </c>
      <c r="AV15" s="26"/>
      <c r="AW15" s="27"/>
      <c r="AX15" s="28" t="s">
        <v>47</v>
      </c>
      <c r="AY15" s="29" t="str">
        <f>VLOOKUP(AV13,【進行】結果入力表!$B$7:$J$78,9,FALSE)</f>
        <v>SBC</v>
      </c>
      <c r="AZ15" s="26"/>
      <c r="BA15" s="30"/>
      <c r="BD15" s="25" t="str">
        <f>VLOOKUP(BE13,【進行】結果入力表!$B$7:$J$78,2,FALSE)</f>
        <v>WRC</v>
      </c>
      <c r="BE15" s="26"/>
      <c r="BF15" s="27"/>
      <c r="BG15" s="28" t="s">
        <v>47</v>
      </c>
      <c r="BH15" s="29" t="str">
        <f>VLOOKUP(BE13,【進行】結果入力表!$B$7:$J$78,9,FALSE)</f>
        <v>SBC</v>
      </c>
      <c r="BI15" s="26"/>
      <c r="BJ15" s="30"/>
      <c r="BM15" s="25" t="str">
        <f>VLOOKUP(BN13,【進行】結果入力表!$B$7:$J$78,2,FALSE)</f>
        <v>WRC</v>
      </c>
      <c r="BN15" s="26"/>
      <c r="BO15" s="27"/>
      <c r="BP15" s="28" t="s">
        <v>47</v>
      </c>
      <c r="BQ15" s="29" t="str">
        <f>VLOOKUP(BN13,【進行】結果入力表!$B$7:$J$78,9,FALSE)</f>
        <v>SBC</v>
      </c>
      <c r="BR15" s="26"/>
      <c r="BS15" s="30"/>
    </row>
    <row r="16" spans="2:72" s="51" customFormat="1" ht="46.5" customHeight="1" x14ac:dyDescent="0.15">
      <c r="B16" s="45" t="str">
        <f>VLOOKUP(C13,【進行】結果入力表!$B$7:$J$78,3,FALSE)</f>
        <v>森田　憲</v>
      </c>
      <c r="C16" s="46"/>
      <c r="D16" s="47"/>
      <c r="E16" s="48" t="s">
        <v>48</v>
      </c>
      <c r="F16" s="49" t="str">
        <f>VLOOKUP(C13,【進行】結果入力表!$B$7:$J$78,8,FALSE)</f>
        <v>大橋　義治</v>
      </c>
      <c r="G16" s="46"/>
      <c r="H16" s="50"/>
      <c r="K16" s="45" t="str">
        <f>VLOOKUP(L13,【進行】結果入力表!$B$7:$J$78,3,FALSE)</f>
        <v>和田　宗一郎</v>
      </c>
      <c r="L16" s="46"/>
      <c r="M16" s="47"/>
      <c r="N16" s="48" t="s">
        <v>48</v>
      </c>
      <c r="O16" s="49" t="str">
        <f>VLOOKUP(L13,【進行】結果入力表!$B$7:$J$78,8,FALSE)</f>
        <v>林　秀忠</v>
      </c>
      <c r="P16" s="46"/>
      <c r="Q16" s="50"/>
      <c r="T16" s="45" t="str">
        <f>VLOOKUP(U13,【進行】結果入力表!$B$7:$J$78,3,FALSE)</f>
        <v>杉本　博章</v>
      </c>
      <c r="U16" s="46"/>
      <c r="V16" s="47"/>
      <c r="W16" s="48" t="s">
        <v>48</v>
      </c>
      <c r="X16" s="49" t="str">
        <f>VLOOKUP(U13,【進行】結果入力表!$B$7:$J$78,8,FALSE)</f>
        <v>西峰　久祐</v>
      </c>
      <c r="Y16" s="46"/>
      <c r="Z16" s="50"/>
      <c r="AC16" s="45" t="str">
        <f>VLOOKUP(AD13,【進行】結果入力表!$B$7:$J$78,3,FALSE)</f>
        <v>末岡　修</v>
      </c>
      <c r="AD16" s="46"/>
      <c r="AE16" s="47"/>
      <c r="AF16" s="48" t="s">
        <v>48</v>
      </c>
      <c r="AG16" s="49" t="str">
        <f>VLOOKUP(AD13,【進行】結果入力表!$B$7:$J$78,8,FALSE)</f>
        <v>山中　康裕</v>
      </c>
      <c r="AH16" s="46"/>
      <c r="AI16" s="50"/>
      <c r="AL16" s="45" t="str">
        <f>VLOOKUP(AM13,【進行】結果入力表!$B$7:$J$78,3,FALSE)</f>
        <v>中本　雅大</v>
      </c>
      <c r="AM16" s="46"/>
      <c r="AN16" s="47"/>
      <c r="AO16" s="48" t="s">
        <v>48</v>
      </c>
      <c r="AP16" s="49" t="str">
        <f>VLOOKUP(AM13,【進行】結果入力表!$B$7:$J$78,8,FALSE)</f>
        <v>柳川　哲也</v>
      </c>
      <c r="AQ16" s="46"/>
      <c r="AR16" s="50"/>
      <c r="AU16" s="45" t="str">
        <f>VLOOKUP(AV13,【進行】結果入力表!$B$7:$J$78,3,FALSE)</f>
        <v>大迫　忠典</v>
      </c>
      <c r="AV16" s="46"/>
      <c r="AW16" s="47"/>
      <c r="AX16" s="48" t="s">
        <v>48</v>
      </c>
      <c r="AY16" s="49" t="str">
        <f>VLOOKUP(AV13,【進行】結果入力表!$B$7:$J$78,8,FALSE)</f>
        <v>大橋　正寛</v>
      </c>
      <c r="AZ16" s="46"/>
      <c r="BA16" s="50"/>
      <c r="BD16" s="45" t="str">
        <f>VLOOKUP(BE13,【進行】結果入力表!$B$7:$J$78,3,FALSE)</f>
        <v>松房　ゆかり</v>
      </c>
      <c r="BE16" s="46"/>
      <c r="BF16" s="47"/>
      <c r="BG16" s="48" t="s">
        <v>48</v>
      </c>
      <c r="BH16" s="49" t="str">
        <f>VLOOKUP(BE13,【進行】結果入力表!$B$7:$J$78,8,FALSE)</f>
        <v>大橋　洋子</v>
      </c>
      <c r="BI16" s="46"/>
      <c r="BJ16" s="50"/>
      <c r="BM16" s="45" t="str">
        <f>VLOOKUP(BN13,【進行】結果入力表!$B$7:$J$78,3,FALSE)</f>
        <v/>
      </c>
      <c r="BN16" s="46"/>
      <c r="BO16" s="47"/>
      <c r="BP16" s="48" t="s">
        <v>48</v>
      </c>
      <c r="BQ16" s="49" t="str">
        <f>VLOOKUP(BN13,【進行】結果入力表!$B$7:$J$78,8,FALSE)</f>
        <v/>
      </c>
      <c r="BR16" s="46"/>
      <c r="BS16" s="50"/>
    </row>
    <row r="17" spans="2:72" ht="37.5" customHeight="1" x14ac:dyDescent="0.15">
      <c r="B17" s="37"/>
      <c r="C17" s="32"/>
      <c r="D17" s="33"/>
      <c r="E17" s="34" t="s">
        <v>49</v>
      </c>
      <c r="F17" s="38"/>
      <c r="G17" s="32"/>
      <c r="H17" s="36"/>
      <c r="K17" s="37"/>
      <c r="L17" s="32"/>
      <c r="M17" s="33"/>
      <c r="N17" s="34" t="s">
        <v>49</v>
      </c>
      <c r="O17" s="38"/>
      <c r="P17" s="32"/>
      <c r="Q17" s="36"/>
      <c r="T17" s="37"/>
      <c r="U17" s="32"/>
      <c r="V17" s="33"/>
      <c r="W17" s="34" t="s">
        <v>49</v>
      </c>
      <c r="X17" s="38"/>
      <c r="Y17" s="32"/>
      <c r="Z17" s="36"/>
      <c r="AC17" s="37"/>
      <c r="AD17" s="32"/>
      <c r="AE17" s="33"/>
      <c r="AF17" s="34" t="s">
        <v>49</v>
      </c>
      <c r="AG17" s="38"/>
      <c r="AH17" s="32"/>
      <c r="AI17" s="36"/>
      <c r="AL17" s="37"/>
      <c r="AM17" s="32"/>
      <c r="AN17" s="33"/>
      <c r="AO17" s="34" t="s">
        <v>49</v>
      </c>
      <c r="AP17" s="38"/>
      <c r="AQ17" s="32"/>
      <c r="AR17" s="36"/>
      <c r="AU17" s="37"/>
      <c r="AV17" s="32"/>
      <c r="AW17" s="33"/>
      <c r="AX17" s="34" t="s">
        <v>49</v>
      </c>
      <c r="AY17" s="38"/>
      <c r="AZ17" s="32"/>
      <c r="BA17" s="36"/>
      <c r="BD17" s="37"/>
      <c r="BE17" s="32"/>
      <c r="BF17" s="33"/>
      <c r="BG17" s="34" t="s">
        <v>49</v>
      </c>
      <c r="BH17" s="38"/>
      <c r="BI17" s="32"/>
      <c r="BJ17" s="36"/>
      <c r="BM17" s="37"/>
      <c r="BN17" s="32"/>
      <c r="BO17" s="33"/>
      <c r="BP17" s="34" t="s">
        <v>49</v>
      </c>
      <c r="BQ17" s="38"/>
      <c r="BR17" s="32"/>
      <c r="BS17" s="36"/>
    </row>
    <row r="18" spans="2:72" ht="37.5" customHeight="1" thickBot="1" x14ac:dyDescent="0.2">
      <c r="B18" s="39"/>
      <c r="C18" s="40"/>
      <c r="D18" s="41"/>
      <c r="E18" s="42" t="s">
        <v>50</v>
      </c>
      <c r="F18" s="43"/>
      <c r="G18" s="40"/>
      <c r="H18" s="44"/>
      <c r="K18" s="39"/>
      <c r="L18" s="40"/>
      <c r="M18" s="41"/>
      <c r="N18" s="42" t="s">
        <v>50</v>
      </c>
      <c r="O18" s="43"/>
      <c r="P18" s="40"/>
      <c r="Q18" s="44"/>
      <c r="T18" s="39"/>
      <c r="U18" s="40"/>
      <c r="V18" s="41"/>
      <c r="W18" s="42" t="s">
        <v>50</v>
      </c>
      <c r="X18" s="43"/>
      <c r="Y18" s="40"/>
      <c r="Z18" s="44"/>
      <c r="AC18" s="39"/>
      <c r="AD18" s="40"/>
      <c r="AE18" s="41"/>
      <c r="AF18" s="42" t="s">
        <v>50</v>
      </c>
      <c r="AG18" s="43"/>
      <c r="AH18" s="40"/>
      <c r="AI18" s="44"/>
      <c r="AL18" s="39"/>
      <c r="AM18" s="40"/>
      <c r="AN18" s="41"/>
      <c r="AO18" s="42" t="s">
        <v>50</v>
      </c>
      <c r="AP18" s="43"/>
      <c r="AQ18" s="40"/>
      <c r="AR18" s="44"/>
      <c r="AU18" s="39"/>
      <c r="AV18" s="40"/>
      <c r="AW18" s="41"/>
      <c r="AX18" s="42" t="s">
        <v>50</v>
      </c>
      <c r="AY18" s="43"/>
      <c r="AZ18" s="40"/>
      <c r="BA18" s="44"/>
      <c r="BD18" s="39"/>
      <c r="BE18" s="40"/>
      <c r="BF18" s="41"/>
      <c r="BG18" s="42" t="s">
        <v>50</v>
      </c>
      <c r="BH18" s="43"/>
      <c r="BI18" s="40"/>
      <c r="BJ18" s="44"/>
      <c r="BM18" s="39"/>
      <c r="BN18" s="40"/>
      <c r="BO18" s="41"/>
      <c r="BP18" s="42" t="s">
        <v>50</v>
      </c>
      <c r="BQ18" s="43"/>
      <c r="BR18" s="40"/>
      <c r="BS18" s="44"/>
    </row>
    <row r="20" spans="2:72" ht="17.25" x14ac:dyDescent="0.2">
      <c r="D20" s="23"/>
      <c r="E20" s="14" t="s">
        <v>52</v>
      </c>
      <c r="F20" s="52" t="str">
        <f>VLOOKUP(C13,【進行】結果入力表!$B$7:$M$78,11,FALSE)</f>
        <v>NRC</v>
      </c>
      <c r="G20" s="53" t="str">
        <f>VLOOKUP(C13,【進行】結果入力表!$B$7:$M$78,12,FALSE)</f>
        <v>白戸　玲人</v>
      </c>
      <c r="H20" s="23"/>
      <c r="M20" s="23"/>
      <c r="N20" s="14" t="s">
        <v>52</v>
      </c>
      <c r="O20" s="52" t="str">
        <f>VLOOKUP(L13,【進行】結果入力表!$B$7:$M$78,11,FALSE)</f>
        <v>NRC</v>
      </c>
      <c r="P20" s="53" t="str">
        <f>VLOOKUP(L13,【進行】結果入力表!$B$7:$M$78,12,FALSE)</f>
        <v>吉向　翔平</v>
      </c>
      <c r="Q20" s="23"/>
      <c r="V20" s="23"/>
      <c r="W20" s="14" t="s">
        <v>52</v>
      </c>
      <c r="X20" s="52" t="str">
        <f>VLOOKUP(U13,【進行】結果入力表!$B$7:$M$78,11,FALSE)</f>
        <v>NRC</v>
      </c>
      <c r="Y20" s="53" t="str">
        <f>VLOOKUP(U13,【進行】結果入力表!$B$7:$M$78,12,FALSE)</f>
        <v>植田　慎也</v>
      </c>
      <c r="Z20" s="23"/>
      <c r="AE20" s="23"/>
      <c r="AF20" s="14" t="s">
        <v>52</v>
      </c>
      <c r="AG20" s="52" t="str">
        <f>VLOOKUP(AD13,【進行】結果入力表!$B$7:$M$78,11,FALSE)</f>
        <v>NRC</v>
      </c>
      <c r="AH20" s="53" t="str">
        <f>VLOOKUP(AD13,【進行】結果入力表!$B$7:$M$78,12,FALSE)</f>
        <v>岩本　剛</v>
      </c>
      <c r="AI20" s="23"/>
      <c r="AN20" s="23"/>
      <c r="AO20" s="14" t="s">
        <v>52</v>
      </c>
      <c r="AP20" s="52" t="str">
        <f>VLOOKUP(AM13,【進行】結果入力表!$B$7:$M$78,11,FALSE)</f>
        <v>NRC</v>
      </c>
      <c r="AQ20" s="53" t="str">
        <f>VLOOKUP(AM13,【進行】結果入力表!$B$7:$M$78,12,FALSE)</f>
        <v>斎藤　大輔</v>
      </c>
      <c r="AR20" s="23"/>
      <c r="AW20" s="23"/>
      <c r="AX20" s="14" t="s">
        <v>52</v>
      </c>
      <c r="AY20" s="52" t="str">
        <f>VLOOKUP(AV13,【進行】結果入力表!$B$7:$M$78,11,FALSE)</f>
        <v>NRC</v>
      </c>
      <c r="AZ20" s="53" t="str">
        <f>VLOOKUP(AV13,【進行】結果入力表!$B$7:$M$78,12,FALSE)</f>
        <v>長谷川　進</v>
      </c>
      <c r="BA20" s="23"/>
      <c r="BF20" s="23"/>
      <c r="BG20" s="14" t="s">
        <v>52</v>
      </c>
      <c r="BH20" s="52" t="str">
        <f>VLOOKUP(BE13,【進行】結果入力表!$B$7:$M$78,11,FALSE)</f>
        <v>NRC</v>
      </c>
      <c r="BI20" s="53" t="str">
        <f>VLOOKUP(BE13,【進行】結果入力表!$B$7:$M$78,12,FALSE)</f>
        <v>白戸　恭子</v>
      </c>
      <c r="BJ20" s="23"/>
      <c r="BO20" s="23"/>
      <c r="BP20" s="14" t="s">
        <v>52</v>
      </c>
      <c r="BQ20" s="52" t="str">
        <f>VLOOKUP(BN13,【進行】結果入力表!$B$7:$M$78,11,FALSE)</f>
        <v>NRC</v>
      </c>
      <c r="BR20" s="53" t="str">
        <f>VLOOKUP(BN13,【進行】結果入力表!$B$7:$M$78,12,FALSE)</f>
        <v/>
      </c>
      <c r="BS20" s="23"/>
    </row>
    <row r="21" spans="2:72" ht="15" customHeight="1" x14ac:dyDescent="0.15">
      <c r="B21" s="19" t="str">
        <f>【結果】個人成績表!$A$1</f>
        <v>第17回　和奈滋対抗戦　　　(和歌山；オーシャンドリーム)</v>
      </c>
      <c r="C21" s="20"/>
      <c r="D21" s="20"/>
      <c r="E21" s="20"/>
      <c r="F21" s="20"/>
      <c r="G21" s="20"/>
      <c r="H21" s="21"/>
      <c r="K21" s="19" t="str">
        <f>【結果】個人成績表!$A$1</f>
        <v>第17回　和奈滋対抗戦　　　(和歌山；オーシャンドリーム)</v>
      </c>
      <c r="L21" s="20"/>
      <c r="M21" s="20"/>
      <c r="N21" s="20"/>
      <c r="O21" s="20"/>
      <c r="P21" s="20"/>
      <c r="Q21" s="21"/>
      <c r="T21" s="19" t="str">
        <f>【結果】個人成績表!$A$1</f>
        <v>第17回　和奈滋対抗戦　　　(和歌山；オーシャンドリーム)</v>
      </c>
      <c r="U21" s="20"/>
      <c r="V21" s="20"/>
      <c r="W21" s="20"/>
      <c r="X21" s="20"/>
      <c r="Y21" s="20"/>
      <c r="Z21" s="21"/>
      <c r="AC21" s="19" t="str">
        <f>【結果】個人成績表!$A$1</f>
        <v>第17回　和奈滋対抗戦　　　(和歌山；オーシャンドリーム)</v>
      </c>
      <c r="AD21" s="20"/>
      <c r="AE21" s="20"/>
      <c r="AF21" s="20"/>
      <c r="AG21" s="20"/>
      <c r="AH21" s="20"/>
      <c r="AI21" s="21"/>
      <c r="AL21" s="19" t="str">
        <f>【結果】個人成績表!$A$1</f>
        <v>第17回　和奈滋対抗戦　　　(和歌山；オーシャンドリーム)</v>
      </c>
      <c r="AM21" s="20"/>
      <c r="AN21" s="20"/>
      <c r="AO21" s="20"/>
      <c r="AP21" s="20"/>
      <c r="AQ21" s="20"/>
      <c r="AR21" s="21"/>
      <c r="AU21" s="19" t="str">
        <f>【結果】個人成績表!$A$1</f>
        <v>第17回　和奈滋対抗戦　　　(和歌山；オーシャンドリーム)</v>
      </c>
      <c r="AV21" s="20"/>
      <c r="AW21" s="20"/>
      <c r="AX21" s="20"/>
      <c r="AY21" s="20"/>
      <c r="AZ21" s="20"/>
      <c r="BA21" s="21"/>
      <c r="BD21" s="19" t="str">
        <f>【結果】個人成績表!$A$1</f>
        <v>第17回　和奈滋対抗戦　　　(和歌山；オーシャンドリーム)</v>
      </c>
      <c r="BE21" s="20"/>
      <c r="BF21" s="20"/>
      <c r="BG21" s="20"/>
      <c r="BH21" s="20"/>
      <c r="BI21" s="20"/>
      <c r="BJ21" s="21"/>
      <c r="BM21" s="19" t="str">
        <f>【結果】個人成績表!$A$1</f>
        <v>第17回　和奈滋対抗戦　　　(和歌山；オーシャンドリーム)</v>
      </c>
      <c r="BN21" s="20"/>
      <c r="BO21" s="20"/>
      <c r="BP21" s="20"/>
      <c r="BQ21" s="20"/>
      <c r="BR21" s="20"/>
      <c r="BS21" s="21"/>
      <c r="BT21" t="s">
        <v>43</v>
      </c>
    </row>
    <row r="23" spans="2:72" s="22" customFormat="1" ht="15" customHeight="1" x14ac:dyDescent="0.2">
      <c r="B23" s="23" t="s">
        <v>45</v>
      </c>
      <c r="C23" s="24">
        <f>【進行】結果入力表!B15</f>
        <v>8</v>
      </c>
      <c r="F23" s="23" t="s">
        <v>46</v>
      </c>
      <c r="G23" s="24"/>
      <c r="K23" s="23" t="s">
        <v>45</v>
      </c>
      <c r="L23" s="24">
        <f>【進行】結果入力表!B16</f>
        <v>9</v>
      </c>
      <c r="O23" s="23" t="s">
        <v>46</v>
      </c>
      <c r="P23" s="24"/>
      <c r="T23" s="23" t="s">
        <v>45</v>
      </c>
      <c r="U23" s="24">
        <f>【進行】結果入力表!B17</f>
        <v>10</v>
      </c>
      <c r="X23" s="23" t="s">
        <v>46</v>
      </c>
      <c r="Y23" s="24"/>
      <c r="AC23" s="23" t="s">
        <v>45</v>
      </c>
      <c r="AD23" s="24">
        <f>【進行】結果入力表!B18</f>
        <v>11</v>
      </c>
      <c r="AG23" s="23" t="s">
        <v>46</v>
      </c>
      <c r="AH23" s="24"/>
      <c r="AL23" s="23" t="s">
        <v>45</v>
      </c>
      <c r="AM23" s="24">
        <f>【進行】結果入力表!B19</f>
        <v>12</v>
      </c>
      <c r="AP23" s="23" t="s">
        <v>46</v>
      </c>
      <c r="AQ23" s="24"/>
      <c r="AU23" s="23" t="s">
        <v>45</v>
      </c>
      <c r="AV23" s="24">
        <f>【進行】結果入力表!B20</f>
        <v>13</v>
      </c>
      <c r="AY23" s="23" t="s">
        <v>46</v>
      </c>
      <c r="AZ23" s="24"/>
      <c r="BD23" s="23" t="s">
        <v>45</v>
      </c>
      <c r="BE23" s="24">
        <f>【進行】結果入力表!B21</f>
        <v>14</v>
      </c>
      <c r="BH23" s="23" t="s">
        <v>46</v>
      </c>
      <c r="BI23" s="24"/>
      <c r="BM23" s="23" t="s">
        <v>45</v>
      </c>
      <c r="BN23" s="24" t="str">
        <f>【進行】結果入力表!B22</f>
        <v/>
      </c>
      <c r="BQ23" s="23" t="s">
        <v>46</v>
      </c>
      <c r="BR23" s="24"/>
    </row>
    <row r="25" spans="2:72" ht="31.5" customHeight="1" x14ac:dyDescent="0.15">
      <c r="B25" s="25" t="str">
        <f>VLOOKUP(C23,【進行】結果入力表!$B$7:$J$78,2,FALSE)</f>
        <v>WRC</v>
      </c>
      <c r="C25" s="26"/>
      <c r="D25" s="27"/>
      <c r="E25" s="28" t="s">
        <v>47</v>
      </c>
      <c r="F25" s="29" t="str">
        <f>VLOOKUP(C23,【進行】結果入力表!$B$7:$J$78,9,FALSE)</f>
        <v>NRC</v>
      </c>
      <c r="G25" s="26"/>
      <c r="H25" s="30"/>
      <c r="K25" s="25" t="str">
        <f>VLOOKUP(L23,【進行】結果入力表!$B$7:$J$78,2,FALSE)</f>
        <v>WRC</v>
      </c>
      <c r="L25" s="26"/>
      <c r="M25" s="27"/>
      <c r="N25" s="28" t="s">
        <v>47</v>
      </c>
      <c r="O25" s="29" t="str">
        <f>VLOOKUP(L23,【進行】結果入力表!$B$7:$J$78,9,FALSE)</f>
        <v>NRC</v>
      </c>
      <c r="P25" s="26"/>
      <c r="Q25" s="30"/>
      <c r="T25" s="25" t="str">
        <f>VLOOKUP(U23,【進行】結果入力表!$B$7:$J$78,2,FALSE)</f>
        <v>WRC</v>
      </c>
      <c r="U25" s="26"/>
      <c r="V25" s="27"/>
      <c r="W25" s="28" t="s">
        <v>47</v>
      </c>
      <c r="X25" s="29" t="str">
        <f>VLOOKUP(U23,【進行】結果入力表!$B$7:$J$78,9,FALSE)</f>
        <v>NRC</v>
      </c>
      <c r="Y25" s="26"/>
      <c r="Z25" s="30"/>
      <c r="AC25" s="25" t="str">
        <f>VLOOKUP(AD23,【進行】結果入力表!$B$7:$J$78,2,FALSE)</f>
        <v>WRC</v>
      </c>
      <c r="AD25" s="26"/>
      <c r="AE25" s="27"/>
      <c r="AF25" s="28" t="s">
        <v>47</v>
      </c>
      <c r="AG25" s="29" t="str">
        <f>VLOOKUP(AD23,【進行】結果入力表!$B$7:$J$78,9,FALSE)</f>
        <v>NRC</v>
      </c>
      <c r="AH25" s="26"/>
      <c r="AI25" s="30"/>
      <c r="AL25" s="25" t="str">
        <f>VLOOKUP(AM23,【進行】結果入力表!$B$7:$J$78,2,FALSE)</f>
        <v>WRC</v>
      </c>
      <c r="AM25" s="26"/>
      <c r="AN25" s="27"/>
      <c r="AO25" s="28" t="s">
        <v>47</v>
      </c>
      <c r="AP25" s="29" t="str">
        <f>VLOOKUP(AM23,【進行】結果入力表!$B$7:$J$78,9,FALSE)</f>
        <v>NRC</v>
      </c>
      <c r="AQ25" s="26"/>
      <c r="AR25" s="30"/>
      <c r="AU25" s="25" t="str">
        <f>VLOOKUP(AV23,【進行】結果入力表!$B$7:$J$78,2,FALSE)</f>
        <v>WRC</v>
      </c>
      <c r="AV25" s="26"/>
      <c r="AW25" s="27"/>
      <c r="AX25" s="28" t="s">
        <v>47</v>
      </c>
      <c r="AY25" s="29" t="str">
        <f>VLOOKUP(AV23,【進行】結果入力表!$B$7:$J$78,9,FALSE)</f>
        <v>NRC</v>
      </c>
      <c r="AZ25" s="26"/>
      <c r="BA25" s="30"/>
      <c r="BD25" s="25" t="str">
        <f>VLOOKUP(BE23,【進行】結果入力表!$B$7:$J$78,2,FALSE)</f>
        <v>WRC</v>
      </c>
      <c r="BE25" s="26"/>
      <c r="BF25" s="27"/>
      <c r="BG25" s="28" t="s">
        <v>47</v>
      </c>
      <c r="BH25" s="29" t="str">
        <f>VLOOKUP(BE23,【進行】結果入力表!$B$7:$J$78,9,FALSE)</f>
        <v>NRC</v>
      </c>
      <c r="BI25" s="26"/>
      <c r="BJ25" s="30"/>
      <c r="BM25" s="25" t="str">
        <f>VLOOKUP(BN23,【進行】結果入力表!$B$7:$J$78,2,FALSE)</f>
        <v>WRC</v>
      </c>
      <c r="BN25" s="26"/>
      <c r="BO25" s="27"/>
      <c r="BP25" s="28" t="s">
        <v>47</v>
      </c>
      <c r="BQ25" s="29" t="str">
        <f>VLOOKUP(BN23,【進行】結果入力表!$B$7:$J$78,9,FALSE)</f>
        <v>SBC</v>
      </c>
      <c r="BR25" s="26"/>
      <c r="BS25" s="30"/>
    </row>
    <row r="26" spans="2:72" s="51" customFormat="1" ht="46.5" customHeight="1" x14ac:dyDescent="0.15">
      <c r="B26" s="45" t="str">
        <f>VLOOKUP(C23,【進行】結果入力表!$B$7:$J$78,3,FALSE)</f>
        <v>森田　憲</v>
      </c>
      <c r="C26" s="46"/>
      <c r="D26" s="47"/>
      <c r="E26" s="48" t="s">
        <v>48</v>
      </c>
      <c r="F26" s="49" t="str">
        <f>VLOOKUP(C23,【進行】結果入力表!$B$7:$J$78,8,FALSE)</f>
        <v>白戸　玲人</v>
      </c>
      <c r="G26" s="46"/>
      <c r="H26" s="50"/>
      <c r="K26" s="45" t="str">
        <f>VLOOKUP(L23,【進行】結果入力表!$B$7:$J$78,3,FALSE)</f>
        <v>和田　宗一郎</v>
      </c>
      <c r="L26" s="46"/>
      <c r="M26" s="47"/>
      <c r="N26" s="48" t="s">
        <v>48</v>
      </c>
      <c r="O26" s="49" t="str">
        <f>VLOOKUP(L23,【進行】結果入力表!$B$7:$J$78,8,FALSE)</f>
        <v>吉向　翔平</v>
      </c>
      <c r="P26" s="46"/>
      <c r="Q26" s="50"/>
      <c r="T26" s="45" t="str">
        <f>VLOOKUP(U23,【進行】結果入力表!$B$7:$J$78,3,FALSE)</f>
        <v>杉本　博章</v>
      </c>
      <c r="U26" s="46"/>
      <c r="V26" s="47"/>
      <c r="W26" s="48" t="s">
        <v>48</v>
      </c>
      <c r="X26" s="49" t="str">
        <f>VLOOKUP(U23,【進行】結果入力表!$B$7:$J$78,8,FALSE)</f>
        <v>植田　慎也</v>
      </c>
      <c r="Y26" s="46"/>
      <c r="Z26" s="50"/>
      <c r="AC26" s="45" t="str">
        <f>VLOOKUP(AD23,【進行】結果入力表!$B$7:$J$78,3,FALSE)</f>
        <v>末岡　修</v>
      </c>
      <c r="AD26" s="46"/>
      <c r="AE26" s="47"/>
      <c r="AF26" s="48" t="s">
        <v>48</v>
      </c>
      <c r="AG26" s="49" t="str">
        <f>VLOOKUP(AD23,【進行】結果入力表!$B$7:$J$78,8,FALSE)</f>
        <v>岩本　剛</v>
      </c>
      <c r="AH26" s="46"/>
      <c r="AI26" s="50"/>
      <c r="AL26" s="45" t="str">
        <f>VLOOKUP(AM23,【進行】結果入力表!$B$7:$J$78,3,FALSE)</f>
        <v>中本　雅大</v>
      </c>
      <c r="AM26" s="46"/>
      <c r="AN26" s="47"/>
      <c r="AO26" s="48" t="s">
        <v>48</v>
      </c>
      <c r="AP26" s="49" t="str">
        <f>VLOOKUP(AM23,【進行】結果入力表!$B$7:$J$78,8,FALSE)</f>
        <v>斎藤　大輔</v>
      </c>
      <c r="AQ26" s="46"/>
      <c r="AR26" s="50"/>
      <c r="AU26" s="45" t="str">
        <f>VLOOKUP(AV23,【進行】結果入力表!$B$7:$J$78,3,FALSE)</f>
        <v>大迫　忠典</v>
      </c>
      <c r="AV26" s="46"/>
      <c r="AW26" s="47"/>
      <c r="AX26" s="48" t="s">
        <v>48</v>
      </c>
      <c r="AY26" s="49" t="str">
        <f>VLOOKUP(AV23,【進行】結果入力表!$B$7:$J$78,8,FALSE)</f>
        <v>長谷川　進</v>
      </c>
      <c r="AZ26" s="46"/>
      <c r="BA26" s="50"/>
      <c r="BD26" s="45" t="str">
        <f>VLOOKUP(BE23,【進行】結果入力表!$B$7:$J$78,3,FALSE)</f>
        <v>松房　ゆかり</v>
      </c>
      <c r="BE26" s="46"/>
      <c r="BF26" s="47"/>
      <c r="BG26" s="48" t="s">
        <v>48</v>
      </c>
      <c r="BH26" s="49" t="str">
        <f>VLOOKUP(BE23,【進行】結果入力表!$B$7:$J$78,8,FALSE)</f>
        <v>白戸　恭子</v>
      </c>
      <c r="BI26" s="46"/>
      <c r="BJ26" s="50"/>
      <c r="BM26" s="45" t="str">
        <f>VLOOKUP(BN23,【進行】結果入力表!$B$7:$J$78,3,FALSE)</f>
        <v/>
      </c>
      <c r="BN26" s="46"/>
      <c r="BO26" s="47"/>
      <c r="BP26" s="48" t="s">
        <v>48</v>
      </c>
      <c r="BQ26" s="49" t="str">
        <f>VLOOKUP(BN23,【進行】結果入力表!$B$7:$J$78,8,FALSE)</f>
        <v/>
      </c>
      <c r="BR26" s="46"/>
      <c r="BS26" s="50"/>
    </row>
    <row r="27" spans="2:72" ht="37.5" customHeight="1" x14ac:dyDescent="0.15">
      <c r="B27" s="37"/>
      <c r="C27" s="32"/>
      <c r="D27" s="33"/>
      <c r="E27" s="34" t="s">
        <v>49</v>
      </c>
      <c r="F27" s="38"/>
      <c r="G27" s="32"/>
      <c r="H27" s="36"/>
      <c r="K27" s="37"/>
      <c r="L27" s="32"/>
      <c r="M27" s="33"/>
      <c r="N27" s="34" t="s">
        <v>49</v>
      </c>
      <c r="O27" s="38"/>
      <c r="P27" s="32"/>
      <c r="Q27" s="36"/>
      <c r="T27" s="37"/>
      <c r="U27" s="32"/>
      <c r="V27" s="33"/>
      <c r="W27" s="34" t="s">
        <v>49</v>
      </c>
      <c r="X27" s="38"/>
      <c r="Y27" s="32"/>
      <c r="Z27" s="36"/>
      <c r="AC27" s="37"/>
      <c r="AD27" s="32"/>
      <c r="AE27" s="33"/>
      <c r="AF27" s="34" t="s">
        <v>49</v>
      </c>
      <c r="AG27" s="38"/>
      <c r="AH27" s="32"/>
      <c r="AI27" s="36"/>
      <c r="AL27" s="37"/>
      <c r="AM27" s="32"/>
      <c r="AN27" s="33"/>
      <c r="AO27" s="34" t="s">
        <v>49</v>
      </c>
      <c r="AP27" s="38"/>
      <c r="AQ27" s="32"/>
      <c r="AR27" s="36"/>
      <c r="AU27" s="37"/>
      <c r="AV27" s="32"/>
      <c r="AW27" s="33"/>
      <c r="AX27" s="34" t="s">
        <v>49</v>
      </c>
      <c r="AY27" s="38"/>
      <c r="AZ27" s="32"/>
      <c r="BA27" s="36"/>
      <c r="BD27" s="37"/>
      <c r="BE27" s="32"/>
      <c r="BF27" s="33"/>
      <c r="BG27" s="34" t="s">
        <v>49</v>
      </c>
      <c r="BH27" s="38"/>
      <c r="BI27" s="32"/>
      <c r="BJ27" s="36"/>
      <c r="BM27" s="37"/>
      <c r="BN27" s="32"/>
      <c r="BO27" s="33"/>
      <c r="BP27" s="34" t="s">
        <v>49</v>
      </c>
      <c r="BQ27" s="38"/>
      <c r="BR27" s="32"/>
      <c r="BS27" s="36"/>
    </row>
    <row r="28" spans="2:72" ht="37.5" customHeight="1" thickBot="1" x14ac:dyDescent="0.2">
      <c r="B28" s="39"/>
      <c r="C28" s="40"/>
      <c r="D28" s="41"/>
      <c r="E28" s="42" t="s">
        <v>50</v>
      </c>
      <c r="F28" s="43"/>
      <c r="G28" s="40"/>
      <c r="H28" s="44"/>
      <c r="K28" s="39"/>
      <c r="L28" s="40"/>
      <c r="M28" s="41"/>
      <c r="N28" s="42" t="s">
        <v>50</v>
      </c>
      <c r="O28" s="43"/>
      <c r="P28" s="40"/>
      <c r="Q28" s="44"/>
      <c r="T28" s="39"/>
      <c r="U28" s="40"/>
      <c r="V28" s="41"/>
      <c r="W28" s="42" t="s">
        <v>50</v>
      </c>
      <c r="X28" s="43"/>
      <c r="Y28" s="40"/>
      <c r="Z28" s="44"/>
      <c r="AC28" s="39"/>
      <c r="AD28" s="40"/>
      <c r="AE28" s="41"/>
      <c r="AF28" s="42" t="s">
        <v>50</v>
      </c>
      <c r="AG28" s="43"/>
      <c r="AH28" s="40"/>
      <c r="AI28" s="44"/>
      <c r="AL28" s="39"/>
      <c r="AM28" s="40"/>
      <c r="AN28" s="41"/>
      <c r="AO28" s="42" t="s">
        <v>50</v>
      </c>
      <c r="AP28" s="43"/>
      <c r="AQ28" s="40"/>
      <c r="AR28" s="44"/>
      <c r="AU28" s="39"/>
      <c r="AV28" s="40"/>
      <c r="AW28" s="41"/>
      <c r="AX28" s="42" t="s">
        <v>50</v>
      </c>
      <c r="AY28" s="43"/>
      <c r="AZ28" s="40"/>
      <c r="BA28" s="44"/>
      <c r="BD28" s="39"/>
      <c r="BE28" s="40"/>
      <c r="BF28" s="41"/>
      <c r="BG28" s="42" t="s">
        <v>50</v>
      </c>
      <c r="BH28" s="43"/>
      <c r="BI28" s="40"/>
      <c r="BJ28" s="44"/>
      <c r="BM28" s="39"/>
      <c r="BN28" s="40"/>
      <c r="BO28" s="41"/>
      <c r="BP28" s="42" t="s">
        <v>50</v>
      </c>
      <c r="BQ28" s="43"/>
      <c r="BR28" s="40"/>
      <c r="BS28" s="44"/>
    </row>
    <row r="30" spans="2:72" ht="17.25" x14ac:dyDescent="0.2">
      <c r="D30" s="23"/>
      <c r="E30" s="14" t="s">
        <v>52</v>
      </c>
      <c r="F30" s="52" t="str">
        <f>VLOOKUP(C23,【進行】結果入力表!$B$7:$M$78,11,FALSE)</f>
        <v>SBC</v>
      </c>
      <c r="G30" s="53" t="str">
        <f>VLOOKUP(C23,【進行】結果入力表!$B$7:$M$78,12,FALSE)</f>
        <v>大橋　義治</v>
      </c>
      <c r="H30" s="23"/>
      <c r="M30" s="23"/>
      <c r="N30" s="14" t="s">
        <v>52</v>
      </c>
      <c r="O30" s="52" t="str">
        <f>VLOOKUP(L23,【進行】結果入力表!$B$7:$M$78,11,FALSE)</f>
        <v>SBC</v>
      </c>
      <c r="P30" s="53" t="str">
        <f>VLOOKUP(L23,【進行】結果入力表!$B$7:$M$78,12,FALSE)</f>
        <v>林　秀忠</v>
      </c>
      <c r="Q30" s="23"/>
      <c r="V30" s="23"/>
      <c r="W30" s="14" t="s">
        <v>52</v>
      </c>
      <c r="X30" s="52" t="str">
        <f>VLOOKUP(U23,【進行】結果入力表!$B$7:$M$78,11,FALSE)</f>
        <v>SBC</v>
      </c>
      <c r="Y30" s="53" t="str">
        <f>VLOOKUP(U23,【進行】結果入力表!$B$7:$M$78,12,FALSE)</f>
        <v>西峰　久祐</v>
      </c>
      <c r="Z30" s="23"/>
      <c r="AE30" s="23"/>
      <c r="AF30" s="14" t="s">
        <v>52</v>
      </c>
      <c r="AG30" s="52" t="str">
        <f>VLOOKUP(AD23,【進行】結果入力表!$B$7:$M$78,11,FALSE)</f>
        <v>SBC</v>
      </c>
      <c r="AH30" s="53" t="str">
        <f>VLOOKUP(AD23,【進行】結果入力表!$B$7:$M$78,12,FALSE)</f>
        <v>山中　康裕</v>
      </c>
      <c r="AI30" s="23"/>
      <c r="AN30" s="23"/>
      <c r="AO30" s="14" t="s">
        <v>52</v>
      </c>
      <c r="AP30" s="52" t="str">
        <f>VLOOKUP(AM23,【進行】結果入力表!$B$7:$M$78,11,FALSE)</f>
        <v>SBC</v>
      </c>
      <c r="AQ30" s="53" t="str">
        <f>VLOOKUP(AM23,【進行】結果入力表!$B$7:$M$78,12,FALSE)</f>
        <v>柳川　哲也</v>
      </c>
      <c r="AR30" s="23"/>
      <c r="AW30" s="23"/>
      <c r="AX30" s="14" t="s">
        <v>52</v>
      </c>
      <c r="AY30" s="52" t="str">
        <f>VLOOKUP(AV23,【進行】結果入力表!$B$7:$M$78,11,FALSE)</f>
        <v>SBC</v>
      </c>
      <c r="AZ30" s="53" t="str">
        <f>VLOOKUP(AV23,【進行】結果入力表!$B$7:$M$78,12,FALSE)</f>
        <v>大橋　正寛</v>
      </c>
      <c r="BA30" s="23"/>
      <c r="BF30" s="23"/>
      <c r="BG30" s="14" t="s">
        <v>52</v>
      </c>
      <c r="BH30" s="52" t="str">
        <f>VLOOKUP(BE23,【進行】結果入力表!$B$7:$M$78,11,FALSE)</f>
        <v>SBC</v>
      </c>
      <c r="BI30" s="53" t="str">
        <f>VLOOKUP(BE23,【進行】結果入力表!$B$7:$M$78,12,FALSE)</f>
        <v>大橋　洋子</v>
      </c>
      <c r="BJ30" s="23"/>
      <c r="BO30" s="23"/>
      <c r="BP30" s="14" t="s">
        <v>52</v>
      </c>
      <c r="BQ30" s="52" t="str">
        <f>VLOOKUP(BN23,【進行】結果入力表!$B$7:$M$78,11,FALSE)</f>
        <v>NRC</v>
      </c>
      <c r="BR30" s="53" t="str">
        <f>VLOOKUP(BN23,【進行】結果入力表!$B$7:$M$78,12,FALSE)</f>
        <v/>
      </c>
      <c r="BS30" s="23"/>
    </row>
    <row r="31" spans="2:72" ht="15" customHeight="1" x14ac:dyDescent="0.15">
      <c r="B31" s="19" t="str">
        <f>【結果】個人成績表!$A$1</f>
        <v>第17回　和奈滋対抗戦　　　(和歌山；オーシャンドリーム)</v>
      </c>
      <c r="C31" s="20"/>
      <c r="D31" s="20"/>
      <c r="E31" s="20"/>
      <c r="F31" s="20"/>
      <c r="G31" s="20"/>
      <c r="H31" s="21"/>
      <c r="K31" s="19" t="str">
        <f>【結果】個人成績表!$A$1</f>
        <v>第17回　和奈滋対抗戦　　　(和歌山；オーシャンドリーム)</v>
      </c>
      <c r="L31" s="20"/>
      <c r="M31" s="20"/>
      <c r="N31" s="20"/>
      <c r="O31" s="20"/>
      <c r="P31" s="20"/>
      <c r="Q31" s="21"/>
      <c r="T31" s="19" t="str">
        <f>【結果】個人成績表!$A$1</f>
        <v>第17回　和奈滋対抗戦　　　(和歌山；オーシャンドリーム)</v>
      </c>
      <c r="U31" s="20"/>
      <c r="V31" s="20"/>
      <c r="W31" s="20"/>
      <c r="X31" s="20"/>
      <c r="Y31" s="20"/>
      <c r="Z31" s="21"/>
      <c r="AC31" s="19" t="str">
        <f>【結果】個人成績表!$A$1</f>
        <v>第17回　和奈滋対抗戦　　　(和歌山；オーシャンドリーム)</v>
      </c>
      <c r="AD31" s="20"/>
      <c r="AE31" s="20"/>
      <c r="AF31" s="20"/>
      <c r="AG31" s="20"/>
      <c r="AH31" s="20"/>
      <c r="AI31" s="21"/>
      <c r="AL31" s="19" t="str">
        <f>【結果】個人成績表!$A$1</f>
        <v>第17回　和奈滋対抗戦　　　(和歌山；オーシャンドリーム)</v>
      </c>
      <c r="AM31" s="20"/>
      <c r="AN31" s="20"/>
      <c r="AO31" s="20"/>
      <c r="AP31" s="20"/>
      <c r="AQ31" s="20"/>
      <c r="AR31" s="21"/>
      <c r="AU31" s="19" t="str">
        <f>【結果】個人成績表!$A$1</f>
        <v>第17回　和奈滋対抗戦　　　(和歌山；オーシャンドリーム)</v>
      </c>
      <c r="AV31" s="20"/>
      <c r="AW31" s="20"/>
      <c r="AX31" s="20"/>
      <c r="AY31" s="20"/>
      <c r="AZ31" s="20"/>
      <c r="BA31" s="21"/>
      <c r="BD31" s="19" t="str">
        <f>【結果】個人成績表!$A$1</f>
        <v>第17回　和奈滋対抗戦　　　(和歌山；オーシャンドリーム)</v>
      </c>
      <c r="BE31" s="20"/>
      <c r="BF31" s="20"/>
      <c r="BG31" s="20"/>
      <c r="BH31" s="20"/>
      <c r="BI31" s="20"/>
      <c r="BJ31" s="21"/>
      <c r="BM31" s="19" t="str">
        <f>【結果】個人成績表!$A$1</f>
        <v>第17回　和奈滋対抗戦　　　(和歌山；オーシャンドリーム)</v>
      </c>
      <c r="BN31" s="20"/>
      <c r="BO31" s="20"/>
      <c r="BP31" s="20"/>
      <c r="BQ31" s="20"/>
      <c r="BR31" s="20"/>
      <c r="BS31" s="21"/>
      <c r="BT31" t="s">
        <v>43</v>
      </c>
    </row>
    <row r="33" spans="2:72" s="22" customFormat="1" ht="15" customHeight="1" x14ac:dyDescent="0.2">
      <c r="B33" s="23" t="s">
        <v>45</v>
      </c>
      <c r="C33" s="24">
        <f>【進行】結果入力表!B23</f>
        <v>15</v>
      </c>
      <c r="F33" s="23" t="s">
        <v>46</v>
      </c>
      <c r="G33" s="24"/>
      <c r="K33" s="23" t="s">
        <v>45</v>
      </c>
      <c r="L33" s="24">
        <f>【進行】結果入力表!B24</f>
        <v>16</v>
      </c>
      <c r="O33" s="23" t="s">
        <v>46</v>
      </c>
      <c r="P33" s="24"/>
      <c r="T33" s="23" t="s">
        <v>45</v>
      </c>
      <c r="U33" s="24">
        <f>【進行】結果入力表!B25</f>
        <v>17</v>
      </c>
      <c r="X33" s="23" t="s">
        <v>46</v>
      </c>
      <c r="Y33" s="24"/>
      <c r="AC33" s="23" t="s">
        <v>45</v>
      </c>
      <c r="AD33" s="24">
        <f>【進行】結果入力表!B26</f>
        <v>18</v>
      </c>
      <c r="AG33" s="23" t="s">
        <v>46</v>
      </c>
      <c r="AH33" s="24"/>
      <c r="AL33" s="23" t="s">
        <v>45</v>
      </c>
      <c r="AM33" s="24">
        <f>【進行】結果入力表!B27</f>
        <v>19</v>
      </c>
      <c r="AP33" s="23" t="s">
        <v>46</v>
      </c>
      <c r="AQ33" s="24"/>
      <c r="AU33" s="23" t="s">
        <v>45</v>
      </c>
      <c r="AV33" s="24">
        <f>【進行】結果入力表!B28</f>
        <v>20</v>
      </c>
      <c r="AY33" s="23" t="s">
        <v>46</v>
      </c>
      <c r="AZ33" s="24"/>
      <c r="BD33" s="23" t="s">
        <v>45</v>
      </c>
      <c r="BE33" s="24">
        <f>【進行】結果入力表!B29</f>
        <v>21</v>
      </c>
      <c r="BH33" s="23" t="s">
        <v>46</v>
      </c>
      <c r="BI33" s="24"/>
      <c r="BM33" s="23" t="s">
        <v>45</v>
      </c>
      <c r="BN33" s="24" t="str">
        <f>【進行】結果入力表!B30</f>
        <v/>
      </c>
      <c r="BQ33" s="23" t="s">
        <v>46</v>
      </c>
      <c r="BR33" s="24"/>
    </row>
    <row r="35" spans="2:72" ht="31.5" customHeight="1" x14ac:dyDescent="0.15">
      <c r="B35" s="25" t="str">
        <f>VLOOKUP(C33,【進行】結果入力表!$B$7:$J$78,2,FALSE)</f>
        <v>NRC</v>
      </c>
      <c r="C35" s="26"/>
      <c r="D35" s="27"/>
      <c r="E35" s="28" t="s">
        <v>47</v>
      </c>
      <c r="F35" s="29" t="str">
        <f>VLOOKUP(C33,【進行】結果入力表!$B$7:$J$78,9,FALSE)</f>
        <v>SBC</v>
      </c>
      <c r="G35" s="26"/>
      <c r="H35" s="30"/>
      <c r="K35" s="25" t="str">
        <f>VLOOKUP(L33,【進行】結果入力表!$B$7:$J$78,2,FALSE)</f>
        <v>NRC</v>
      </c>
      <c r="L35" s="26"/>
      <c r="M35" s="27"/>
      <c r="N35" s="28" t="s">
        <v>47</v>
      </c>
      <c r="O35" s="29" t="str">
        <f>VLOOKUP(L33,【進行】結果入力表!$B$7:$J$78,9,FALSE)</f>
        <v>SBC</v>
      </c>
      <c r="P35" s="26"/>
      <c r="Q35" s="30"/>
      <c r="T35" s="25" t="str">
        <f>VLOOKUP(U33,【進行】結果入力表!$B$7:$J$78,2,FALSE)</f>
        <v>NRC</v>
      </c>
      <c r="U35" s="26"/>
      <c r="V35" s="27"/>
      <c r="W35" s="28" t="s">
        <v>47</v>
      </c>
      <c r="X35" s="29" t="str">
        <f>VLOOKUP(U33,【進行】結果入力表!$B$7:$J$78,9,FALSE)</f>
        <v>SBC</v>
      </c>
      <c r="Y35" s="26"/>
      <c r="Z35" s="30"/>
      <c r="AC35" s="25" t="str">
        <f>VLOOKUP(AD33,【進行】結果入力表!$B$7:$J$78,2,FALSE)</f>
        <v>NRC</v>
      </c>
      <c r="AD35" s="26"/>
      <c r="AE35" s="27"/>
      <c r="AF35" s="28" t="s">
        <v>47</v>
      </c>
      <c r="AG35" s="29" t="str">
        <f>VLOOKUP(AD33,【進行】結果入力表!$B$7:$J$78,9,FALSE)</f>
        <v>SBC</v>
      </c>
      <c r="AH35" s="26"/>
      <c r="AI35" s="30"/>
      <c r="AL35" s="25" t="str">
        <f>VLOOKUP(AM33,【進行】結果入力表!$B$7:$J$78,2,FALSE)</f>
        <v>NRC</v>
      </c>
      <c r="AM35" s="26"/>
      <c r="AN35" s="27"/>
      <c r="AO35" s="28" t="s">
        <v>47</v>
      </c>
      <c r="AP35" s="29" t="str">
        <f>VLOOKUP(AM33,【進行】結果入力表!$B$7:$J$78,9,FALSE)</f>
        <v>SBC</v>
      </c>
      <c r="AQ35" s="26"/>
      <c r="AR35" s="30"/>
      <c r="AU35" s="25" t="str">
        <f>VLOOKUP(AV33,【進行】結果入力表!$B$7:$J$78,2,FALSE)</f>
        <v>NRC</v>
      </c>
      <c r="AV35" s="26"/>
      <c r="AW35" s="27"/>
      <c r="AX35" s="28" t="s">
        <v>47</v>
      </c>
      <c r="AY35" s="29" t="str">
        <f>VLOOKUP(AV33,【進行】結果入力表!$B$7:$J$78,9,FALSE)</f>
        <v>SBC</v>
      </c>
      <c r="AZ35" s="26"/>
      <c r="BA35" s="30"/>
      <c r="BD35" s="25" t="str">
        <f>VLOOKUP(BE33,【進行】結果入力表!$B$7:$J$78,2,FALSE)</f>
        <v>NRC</v>
      </c>
      <c r="BE35" s="26"/>
      <c r="BF35" s="27"/>
      <c r="BG35" s="28" t="s">
        <v>47</v>
      </c>
      <c r="BH35" s="29" t="str">
        <f>VLOOKUP(BE33,【進行】結果入力表!$B$7:$J$78,9,FALSE)</f>
        <v>SBC</v>
      </c>
      <c r="BI35" s="26"/>
      <c r="BJ35" s="30"/>
      <c r="BM35" s="25" t="str">
        <f>VLOOKUP(BN33,【進行】結果入力表!$B$7:$J$78,2,FALSE)</f>
        <v>WRC</v>
      </c>
      <c r="BN35" s="26"/>
      <c r="BO35" s="27"/>
      <c r="BP35" s="28" t="s">
        <v>47</v>
      </c>
      <c r="BQ35" s="29" t="str">
        <f>VLOOKUP(BN33,【進行】結果入力表!$B$7:$J$78,9,FALSE)</f>
        <v>SBC</v>
      </c>
      <c r="BR35" s="26"/>
      <c r="BS35" s="30"/>
    </row>
    <row r="36" spans="2:72" s="51" customFormat="1" ht="46.5" customHeight="1" x14ac:dyDescent="0.15">
      <c r="B36" s="45" t="str">
        <f>VLOOKUP(C33,【進行】結果入力表!$B$7:$J$78,3,FALSE)</f>
        <v>白戸　玲人</v>
      </c>
      <c r="C36" s="46"/>
      <c r="D36" s="47"/>
      <c r="E36" s="48" t="s">
        <v>48</v>
      </c>
      <c r="F36" s="49" t="str">
        <f>VLOOKUP(C33,【進行】結果入力表!$B$7:$J$78,8,FALSE)</f>
        <v>大橋　義治</v>
      </c>
      <c r="G36" s="46"/>
      <c r="H36" s="50"/>
      <c r="K36" s="45" t="str">
        <f>VLOOKUP(L33,【進行】結果入力表!$B$7:$J$78,3,FALSE)</f>
        <v>吉向　翔平</v>
      </c>
      <c r="L36" s="46"/>
      <c r="M36" s="47"/>
      <c r="N36" s="48" t="s">
        <v>48</v>
      </c>
      <c r="O36" s="49" t="str">
        <f>VLOOKUP(L33,【進行】結果入力表!$B$7:$J$78,8,FALSE)</f>
        <v>林　秀忠</v>
      </c>
      <c r="P36" s="46"/>
      <c r="Q36" s="50"/>
      <c r="T36" s="45" t="str">
        <f>VLOOKUP(U33,【進行】結果入力表!$B$7:$J$78,3,FALSE)</f>
        <v>植田　慎也</v>
      </c>
      <c r="U36" s="46"/>
      <c r="V36" s="47"/>
      <c r="W36" s="48" t="s">
        <v>48</v>
      </c>
      <c r="X36" s="49" t="str">
        <f>VLOOKUP(U33,【進行】結果入力表!$B$7:$J$78,8,FALSE)</f>
        <v>西峰　久祐</v>
      </c>
      <c r="Y36" s="46"/>
      <c r="Z36" s="50"/>
      <c r="AC36" s="45" t="str">
        <f>VLOOKUP(AD33,【進行】結果入力表!$B$7:$J$78,3,FALSE)</f>
        <v>岩本　剛</v>
      </c>
      <c r="AD36" s="46"/>
      <c r="AE36" s="47"/>
      <c r="AF36" s="48" t="s">
        <v>48</v>
      </c>
      <c r="AG36" s="49" t="str">
        <f>VLOOKUP(AD33,【進行】結果入力表!$B$7:$J$78,8,FALSE)</f>
        <v>山中　康裕</v>
      </c>
      <c r="AH36" s="46"/>
      <c r="AI36" s="50"/>
      <c r="AL36" s="45" t="str">
        <f>VLOOKUP(AM33,【進行】結果入力表!$B$7:$J$78,3,FALSE)</f>
        <v>斎藤　大輔</v>
      </c>
      <c r="AM36" s="46"/>
      <c r="AN36" s="47"/>
      <c r="AO36" s="48" t="s">
        <v>48</v>
      </c>
      <c r="AP36" s="49" t="str">
        <f>VLOOKUP(AM33,【進行】結果入力表!$B$7:$J$78,8,FALSE)</f>
        <v>柳川　哲也</v>
      </c>
      <c r="AQ36" s="46"/>
      <c r="AR36" s="50"/>
      <c r="AU36" s="45" t="str">
        <f>VLOOKUP(AV33,【進行】結果入力表!$B$7:$J$78,3,FALSE)</f>
        <v>長谷川　進</v>
      </c>
      <c r="AV36" s="46"/>
      <c r="AW36" s="47"/>
      <c r="AX36" s="48" t="s">
        <v>48</v>
      </c>
      <c r="AY36" s="49" t="str">
        <f>VLOOKUP(AV33,【進行】結果入力表!$B$7:$J$78,8,FALSE)</f>
        <v>大橋　正寛</v>
      </c>
      <c r="AZ36" s="46"/>
      <c r="BA36" s="50"/>
      <c r="BD36" s="45" t="str">
        <f>VLOOKUP(BE33,【進行】結果入力表!$B$7:$J$78,3,FALSE)</f>
        <v>白戸　恭子</v>
      </c>
      <c r="BE36" s="46"/>
      <c r="BF36" s="47"/>
      <c r="BG36" s="48" t="s">
        <v>48</v>
      </c>
      <c r="BH36" s="49" t="str">
        <f>VLOOKUP(BE33,【進行】結果入力表!$B$7:$J$78,8,FALSE)</f>
        <v>大橋　洋子</v>
      </c>
      <c r="BI36" s="46"/>
      <c r="BJ36" s="50"/>
      <c r="BM36" s="45" t="str">
        <f>VLOOKUP(BN33,【進行】結果入力表!$B$7:$J$78,3,FALSE)</f>
        <v/>
      </c>
      <c r="BN36" s="46"/>
      <c r="BO36" s="47"/>
      <c r="BP36" s="48" t="s">
        <v>48</v>
      </c>
      <c r="BQ36" s="49" t="str">
        <f>VLOOKUP(BN33,【進行】結果入力表!$B$7:$J$78,8,FALSE)</f>
        <v/>
      </c>
      <c r="BR36" s="46"/>
      <c r="BS36" s="50"/>
    </row>
    <row r="37" spans="2:72" ht="37.5" customHeight="1" x14ac:dyDescent="0.15">
      <c r="B37" s="37"/>
      <c r="C37" s="32"/>
      <c r="D37" s="33"/>
      <c r="E37" s="34" t="s">
        <v>49</v>
      </c>
      <c r="F37" s="38"/>
      <c r="G37" s="32"/>
      <c r="H37" s="36"/>
      <c r="K37" s="37"/>
      <c r="L37" s="32"/>
      <c r="M37" s="33"/>
      <c r="N37" s="34" t="s">
        <v>49</v>
      </c>
      <c r="O37" s="38"/>
      <c r="P37" s="32"/>
      <c r="Q37" s="36"/>
      <c r="T37" s="37"/>
      <c r="U37" s="32"/>
      <c r="V37" s="33"/>
      <c r="W37" s="34" t="s">
        <v>49</v>
      </c>
      <c r="X37" s="38"/>
      <c r="Y37" s="32"/>
      <c r="Z37" s="36"/>
      <c r="AC37" s="37"/>
      <c r="AD37" s="32"/>
      <c r="AE37" s="33"/>
      <c r="AF37" s="34" t="s">
        <v>49</v>
      </c>
      <c r="AG37" s="38"/>
      <c r="AH37" s="32"/>
      <c r="AI37" s="36"/>
      <c r="AL37" s="37"/>
      <c r="AM37" s="32"/>
      <c r="AN37" s="33"/>
      <c r="AO37" s="34" t="s">
        <v>49</v>
      </c>
      <c r="AP37" s="38"/>
      <c r="AQ37" s="32"/>
      <c r="AR37" s="36"/>
      <c r="AU37" s="37"/>
      <c r="AV37" s="32"/>
      <c r="AW37" s="33"/>
      <c r="AX37" s="34" t="s">
        <v>49</v>
      </c>
      <c r="AY37" s="38"/>
      <c r="AZ37" s="32"/>
      <c r="BA37" s="36"/>
      <c r="BD37" s="37"/>
      <c r="BE37" s="32"/>
      <c r="BF37" s="33"/>
      <c r="BG37" s="34" t="s">
        <v>49</v>
      </c>
      <c r="BH37" s="38"/>
      <c r="BI37" s="32"/>
      <c r="BJ37" s="36"/>
      <c r="BM37" s="37"/>
      <c r="BN37" s="32"/>
      <c r="BO37" s="33"/>
      <c r="BP37" s="34" t="s">
        <v>49</v>
      </c>
      <c r="BQ37" s="38"/>
      <c r="BR37" s="32"/>
      <c r="BS37" s="36"/>
    </row>
    <row r="38" spans="2:72" ht="37.5" customHeight="1" thickBot="1" x14ac:dyDescent="0.2">
      <c r="B38" s="39"/>
      <c r="C38" s="40"/>
      <c r="D38" s="41"/>
      <c r="E38" s="42" t="s">
        <v>50</v>
      </c>
      <c r="F38" s="43"/>
      <c r="G38" s="40"/>
      <c r="H38" s="44"/>
      <c r="K38" s="39"/>
      <c r="L38" s="40"/>
      <c r="M38" s="41"/>
      <c r="N38" s="42" t="s">
        <v>50</v>
      </c>
      <c r="O38" s="43"/>
      <c r="P38" s="40"/>
      <c r="Q38" s="44"/>
      <c r="T38" s="39"/>
      <c r="U38" s="40"/>
      <c r="V38" s="41"/>
      <c r="W38" s="42" t="s">
        <v>50</v>
      </c>
      <c r="X38" s="43"/>
      <c r="Y38" s="40"/>
      <c r="Z38" s="44"/>
      <c r="AC38" s="39"/>
      <c r="AD38" s="40"/>
      <c r="AE38" s="41"/>
      <c r="AF38" s="42" t="s">
        <v>50</v>
      </c>
      <c r="AG38" s="43"/>
      <c r="AH38" s="40"/>
      <c r="AI38" s="44"/>
      <c r="AL38" s="39"/>
      <c r="AM38" s="40"/>
      <c r="AN38" s="41"/>
      <c r="AO38" s="42" t="s">
        <v>50</v>
      </c>
      <c r="AP38" s="43"/>
      <c r="AQ38" s="40"/>
      <c r="AR38" s="44"/>
      <c r="AU38" s="39"/>
      <c r="AV38" s="40"/>
      <c r="AW38" s="41"/>
      <c r="AX38" s="42" t="s">
        <v>50</v>
      </c>
      <c r="AY38" s="43"/>
      <c r="AZ38" s="40"/>
      <c r="BA38" s="44"/>
      <c r="BD38" s="39"/>
      <c r="BE38" s="40"/>
      <c r="BF38" s="41"/>
      <c r="BG38" s="42" t="s">
        <v>50</v>
      </c>
      <c r="BH38" s="43"/>
      <c r="BI38" s="40"/>
      <c r="BJ38" s="44"/>
      <c r="BM38" s="39"/>
      <c r="BN38" s="40"/>
      <c r="BO38" s="41"/>
      <c r="BP38" s="42" t="s">
        <v>50</v>
      </c>
      <c r="BQ38" s="43"/>
      <c r="BR38" s="40"/>
      <c r="BS38" s="44"/>
    </row>
    <row r="40" spans="2:72" ht="17.25" x14ac:dyDescent="0.2">
      <c r="D40" s="23"/>
      <c r="E40" s="14" t="s">
        <v>52</v>
      </c>
      <c r="F40" s="52" t="str">
        <f>VLOOKUP(C33,【進行】結果入力表!$B$7:$M$78,11,FALSE)</f>
        <v>WRC</v>
      </c>
      <c r="G40" s="53" t="str">
        <f>VLOOKUP(C33,【進行】結果入力表!$B$7:$M$78,12,FALSE)</f>
        <v>森田　憲</v>
      </c>
      <c r="H40" s="23"/>
      <c r="M40" s="23"/>
      <c r="N40" s="14" t="s">
        <v>52</v>
      </c>
      <c r="O40" s="52" t="str">
        <f>VLOOKUP(L33,【進行】結果入力表!$B$7:$M$78,11,FALSE)</f>
        <v>WRC</v>
      </c>
      <c r="P40" s="53" t="str">
        <f>VLOOKUP(L33,【進行】結果入力表!$B$7:$M$78,12,FALSE)</f>
        <v>和田　宗一郎</v>
      </c>
      <c r="Q40" s="23"/>
      <c r="V40" s="23"/>
      <c r="W40" s="14" t="s">
        <v>52</v>
      </c>
      <c r="X40" s="52" t="str">
        <f>VLOOKUP(U33,【進行】結果入力表!$B$7:$M$78,11,FALSE)</f>
        <v>WRC</v>
      </c>
      <c r="Y40" s="53" t="str">
        <f>VLOOKUP(U33,【進行】結果入力表!$B$7:$M$78,12,FALSE)</f>
        <v>杉本　博章</v>
      </c>
      <c r="Z40" s="23"/>
      <c r="AE40" s="23"/>
      <c r="AF40" s="14" t="s">
        <v>52</v>
      </c>
      <c r="AG40" s="52" t="str">
        <f>VLOOKUP(AD33,【進行】結果入力表!$B$7:$M$78,11,FALSE)</f>
        <v>WRC</v>
      </c>
      <c r="AH40" s="53" t="str">
        <f>VLOOKUP(AD33,【進行】結果入力表!$B$7:$M$78,12,FALSE)</f>
        <v>末岡　修</v>
      </c>
      <c r="AI40" s="23"/>
      <c r="AN40" s="23"/>
      <c r="AO40" s="14" t="s">
        <v>52</v>
      </c>
      <c r="AP40" s="52" t="str">
        <f>VLOOKUP(AM33,【進行】結果入力表!$B$7:$M$78,11,FALSE)</f>
        <v>WRC</v>
      </c>
      <c r="AQ40" s="53" t="str">
        <f>VLOOKUP(AM33,【進行】結果入力表!$B$7:$M$78,12,FALSE)</f>
        <v>中本　雅大</v>
      </c>
      <c r="AR40" s="23"/>
      <c r="AW40" s="23"/>
      <c r="AX40" s="14" t="s">
        <v>52</v>
      </c>
      <c r="AY40" s="52" t="str">
        <f>VLOOKUP(AV33,【進行】結果入力表!$B$7:$M$78,11,FALSE)</f>
        <v>WRC</v>
      </c>
      <c r="AZ40" s="53" t="str">
        <f>VLOOKUP(AV33,【進行】結果入力表!$B$7:$M$78,12,FALSE)</f>
        <v>大迫　忠典</v>
      </c>
      <c r="BA40" s="23"/>
      <c r="BF40" s="23"/>
      <c r="BG40" s="14" t="s">
        <v>52</v>
      </c>
      <c r="BH40" s="52" t="str">
        <f>VLOOKUP(BE33,【進行】結果入力表!$B$7:$M$78,11,FALSE)</f>
        <v>WRC</v>
      </c>
      <c r="BI40" s="53" t="str">
        <f>VLOOKUP(BE33,【進行】結果入力表!$B$7:$M$78,12,FALSE)</f>
        <v>松房　ゆかり</v>
      </c>
      <c r="BJ40" s="23"/>
      <c r="BO40" s="23"/>
      <c r="BP40" s="14" t="s">
        <v>52</v>
      </c>
      <c r="BQ40" s="52" t="str">
        <f>VLOOKUP(BN33,【進行】結果入力表!$B$7:$M$78,11,FALSE)</f>
        <v>NRC</v>
      </c>
      <c r="BR40" s="53" t="str">
        <f>VLOOKUP(BN33,【進行】結果入力表!$B$7:$M$78,12,FALSE)</f>
        <v/>
      </c>
      <c r="BS40" s="23"/>
    </row>
    <row r="41" spans="2:72" ht="15" customHeight="1" x14ac:dyDescent="0.15">
      <c r="B41" s="19" t="str">
        <f>【結果】個人成績表!$A$1</f>
        <v>第17回　和奈滋対抗戦　　　(和歌山；オーシャンドリーム)</v>
      </c>
      <c r="C41" s="20"/>
      <c r="D41" s="20"/>
      <c r="E41" s="20"/>
      <c r="F41" s="20"/>
      <c r="G41" s="20"/>
      <c r="H41" s="21"/>
      <c r="K41" s="19" t="str">
        <f>【結果】個人成績表!$A$1</f>
        <v>第17回　和奈滋対抗戦　　　(和歌山；オーシャンドリーム)</v>
      </c>
      <c r="L41" s="20"/>
      <c r="M41" s="20"/>
      <c r="N41" s="20"/>
      <c r="O41" s="20"/>
      <c r="P41" s="20"/>
      <c r="Q41" s="21"/>
      <c r="T41" s="19" t="str">
        <f>【結果】個人成績表!$A$1</f>
        <v>第17回　和奈滋対抗戦　　　(和歌山；オーシャンドリーム)</v>
      </c>
      <c r="U41" s="20"/>
      <c r="V41" s="20"/>
      <c r="W41" s="20"/>
      <c r="X41" s="20"/>
      <c r="Y41" s="20"/>
      <c r="Z41" s="21"/>
      <c r="AC41" s="19" t="str">
        <f>【結果】個人成績表!$A$1</f>
        <v>第17回　和奈滋対抗戦　　　(和歌山；オーシャンドリーム)</v>
      </c>
      <c r="AD41" s="20"/>
      <c r="AE41" s="20"/>
      <c r="AF41" s="20"/>
      <c r="AG41" s="20"/>
      <c r="AH41" s="20"/>
      <c r="AI41" s="21"/>
      <c r="AL41" s="19" t="str">
        <f>【結果】個人成績表!$A$1</f>
        <v>第17回　和奈滋対抗戦　　　(和歌山；オーシャンドリーム)</v>
      </c>
      <c r="AM41" s="20"/>
      <c r="AN41" s="20"/>
      <c r="AO41" s="20"/>
      <c r="AP41" s="20"/>
      <c r="AQ41" s="20"/>
      <c r="AR41" s="21"/>
      <c r="AU41" s="19" t="str">
        <f>【結果】個人成績表!$A$1</f>
        <v>第17回　和奈滋対抗戦　　　(和歌山；オーシャンドリーム)</v>
      </c>
      <c r="AV41" s="20"/>
      <c r="AW41" s="20"/>
      <c r="AX41" s="20"/>
      <c r="AY41" s="20"/>
      <c r="AZ41" s="20"/>
      <c r="BA41" s="21"/>
      <c r="BD41" s="19" t="str">
        <f>【結果】個人成績表!$A$1</f>
        <v>第17回　和奈滋対抗戦　　　(和歌山；オーシャンドリーム)</v>
      </c>
      <c r="BE41" s="20"/>
      <c r="BF41" s="20"/>
      <c r="BG41" s="20"/>
      <c r="BH41" s="20"/>
      <c r="BI41" s="20"/>
      <c r="BJ41" s="21"/>
      <c r="BM41" s="19" t="str">
        <f>【結果】個人成績表!$A$1</f>
        <v>第17回　和奈滋対抗戦　　　(和歌山；オーシャンドリーム)</v>
      </c>
      <c r="BN41" s="20"/>
      <c r="BO41" s="20"/>
      <c r="BP41" s="20"/>
      <c r="BQ41" s="20"/>
      <c r="BR41" s="20"/>
      <c r="BS41" s="21"/>
      <c r="BT41" t="s">
        <v>43</v>
      </c>
    </row>
    <row r="43" spans="2:72" s="22" customFormat="1" ht="15" customHeight="1" x14ac:dyDescent="0.2">
      <c r="B43" s="23" t="s">
        <v>45</v>
      </c>
      <c r="C43" s="24">
        <f>【進行】結果入力表!B31</f>
        <v>22</v>
      </c>
      <c r="F43" s="23" t="s">
        <v>46</v>
      </c>
      <c r="G43" s="24"/>
      <c r="K43" s="23" t="s">
        <v>45</v>
      </c>
      <c r="L43" s="24">
        <f>【進行】結果入力表!B32</f>
        <v>23</v>
      </c>
      <c r="O43" s="23" t="s">
        <v>46</v>
      </c>
      <c r="P43" s="24"/>
      <c r="T43" s="23" t="s">
        <v>45</v>
      </c>
      <c r="U43" s="24">
        <f>【進行】結果入力表!B33</f>
        <v>24</v>
      </c>
      <c r="X43" s="23" t="s">
        <v>46</v>
      </c>
      <c r="Y43" s="24"/>
      <c r="AC43" s="23" t="s">
        <v>45</v>
      </c>
      <c r="AD43" s="24">
        <f>【進行】結果入力表!B34</f>
        <v>25</v>
      </c>
      <c r="AG43" s="23" t="s">
        <v>46</v>
      </c>
      <c r="AH43" s="24"/>
      <c r="AL43" s="23" t="s">
        <v>45</v>
      </c>
      <c r="AM43" s="24">
        <f>【進行】結果入力表!B35</f>
        <v>26</v>
      </c>
      <c r="AP43" s="23" t="s">
        <v>46</v>
      </c>
      <c r="AQ43" s="24"/>
      <c r="AU43" s="23" t="s">
        <v>45</v>
      </c>
      <c r="AV43" s="24">
        <f>【進行】結果入力表!B36</f>
        <v>27</v>
      </c>
      <c r="AY43" s="23" t="s">
        <v>46</v>
      </c>
      <c r="AZ43" s="24"/>
      <c r="BD43" s="23" t="s">
        <v>45</v>
      </c>
      <c r="BE43" s="24">
        <f>【進行】結果入力表!B37</f>
        <v>28</v>
      </c>
      <c r="BH43" s="23" t="s">
        <v>46</v>
      </c>
      <c r="BI43" s="24"/>
      <c r="BM43" s="23" t="s">
        <v>45</v>
      </c>
      <c r="BN43" s="24" t="str">
        <f>【進行】結果入力表!B38</f>
        <v/>
      </c>
      <c r="BQ43" s="23" t="s">
        <v>46</v>
      </c>
      <c r="BR43" s="24"/>
    </row>
    <row r="45" spans="2:72" ht="31.5" customHeight="1" x14ac:dyDescent="0.15">
      <c r="B45" s="25" t="str">
        <f>VLOOKUP(C43,【進行】結果入力表!$B$7:$J$78,2,FALSE)</f>
        <v>WRC</v>
      </c>
      <c r="C45" s="26"/>
      <c r="D45" s="27"/>
      <c r="E45" s="28" t="s">
        <v>47</v>
      </c>
      <c r="F45" s="29" t="str">
        <f>VLOOKUP(C43,【進行】結果入力表!$B$7:$J$78,9,FALSE)</f>
        <v>SBC</v>
      </c>
      <c r="G45" s="26"/>
      <c r="H45" s="30"/>
      <c r="K45" s="25" t="str">
        <f>VLOOKUP(L43,【進行】結果入力表!$B$7:$J$78,2,FALSE)</f>
        <v>WRC</v>
      </c>
      <c r="L45" s="26"/>
      <c r="M45" s="27"/>
      <c r="N45" s="28" t="s">
        <v>47</v>
      </c>
      <c r="O45" s="29" t="str">
        <f>VLOOKUP(L43,【進行】結果入力表!$B$7:$J$78,9,FALSE)</f>
        <v>SBC</v>
      </c>
      <c r="P45" s="26"/>
      <c r="Q45" s="30"/>
      <c r="T45" s="25" t="str">
        <f>VLOOKUP(U43,【進行】結果入力表!$B$7:$J$78,2,FALSE)</f>
        <v>WRC</v>
      </c>
      <c r="U45" s="26"/>
      <c r="V45" s="27"/>
      <c r="W45" s="28" t="s">
        <v>47</v>
      </c>
      <c r="X45" s="29" t="str">
        <f>VLOOKUP(U43,【進行】結果入力表!$B$7:$J$78,9,FALSE)</f>
        <v>SBC</v>
      </c>
      <c r="Y45" s="26"/>
      <c r="Z45" s="30"/>
      <c r="AC45" s="25" t="str">
        <f>VLOOKUP(AD43,【進行】結果入力表!$B$7:$J$78,2,FALSE)</f>
        <v>WRC</v>
      </c>
      <c r="AD45" s="26"/>
      <c r="AE45" s="27"/>
      <c r="AF45" s="28" t="s">
        <v>47</v>
      </c>
      <c r="AG45" s="29" t="str">
        <f>VLOOKUP(AD43,【進行】結果入力表!$B$7:$J$78,9,FALSE)</f>
        <v>SBC</v>
      </c>
      <c r="AH45" s="26"/>
      <c r="AI45" s="30"/>
      <c r="AL45" s="25" t="str">
        <f>VLOOKUP(AM43,【進行】結果入力表!$B$7:$J$78,2,FALSE)</f>
        <v>WRC</v>
      </c>
      <c r="AM45" s="26"/>
      <c r="AN45" s="27"/>
      <c r="AO45" s="28" t="s">
        <v>47</v>
      </c>
      <c r="AP45" s="29" t="str">
        <f>VLOOKUP(AM43,【進行】結果入力表!$B$7:$J$78,9,FALSE)</f>
        <v>SBC</v>
      </c>
      <c r="AQ45" s="26"/>
      <c r="AR45" s="30"/>
      <c r="AU45" s="25" t="str">
        <f>VLOOKUP(AV43,【進行】結果入力表!$B$7:$J$78,2,FALSE)</f>
        <v>WRC</v>
      </c>
      <c r="AV45" s="26"/>
      <c r="AW45" s="27"/>
      <c r="AX45" s="28" t="s">
        <v>47</v>
      </c>
      <c r="AY45" s="29" t="str">
        <f>VLOOKUP(AV43,【進行】結果入力表!$B$7:$J$78,9,FALSE)</f>
        <v>SBC</v>
      </c>
      <c r="AZ45" s="26"/>
      <c r="BA45" s="30"/>
      <c r="BD45" s="25" t="str">
        <f>VLOOKUP(BE43,【進行】結果入力表!$B$7:$J$78,2,FALSE)</f>
        <v>WRC</v>
      </c>
      <c r="BE45" s="26"/>
      <c r="BF45" s="27"/>
      <c r="BG45" s="28" t="s">
        <v>47</v>
      </c>
      <c r="BH45" s="29" t="str">
        <f>VLOOKUP(BE43,【進行】結果入力表!$B$7:$J$78,9,FALSE)</f>
        <v>SBC</v>
      </c>
      <c r="BI45" s="26"/>
      <c r="BJ45" s="30"/>
      <c r="BM45" s="25" t="str">
        <f>VLOOKUP(BN43,【進行】結果入力表!$B$7:$J$78,2,FALSE)</f>
        <v>WRC</v>
      </c>
      <c r="BN45" s="26"/>
      <c r="BO45" s="27"/>
      <c r="BP45" s="28" t="s">
        <v>47</v>
      </c>
      <c r="BQ45" s="29" t="str">
        <f>VLOOKUP(BN43,【進行】結果入力表!$B$7:$J$78,9,FALSE)</f>
        <v>SBC</v>
      </c>
      <c r="BR45" s="26"/>
      <c r="BS45" s="30"/>
    </row>
    <row r="46" spans="2:72" s="51" customFormat="1" ht="46.5" customHeight="1" x14ac:dyDescent="0.15">
      <c r="B46" s="45" t="str">
        <f>VLOOKUP(C43,【進行】結果入力表!$B$7:$J$78,3,FALSE)</f>
        <v>大迫　忠典</v>
      </c>
      <c r="C46" s="46"/>
      <c r="D46" s="47"/>
      <c r="E46" s="48" t="s">
        <v>48</v>
      </c>
      <c r="F46" s="49" t="str">
        <f>VLOOKUP(C43,【進行】結果入力表!$B$7:$J$78,8,FALSE)</f>
        <v>大橋　義治</v>
      </c>
      <c r="G46" s="46"/>
      <c r="H46" s="50"/>
      <c r="K46" s="45" t="str">
        <f>VLOOKUP(L43,【進行】結果入力表!$B$7:$J$78,3,FALSE)</f>
        <v>松房　ゆかり</v>
      </c>
      <c r="L46" s="46"/>
      <c r="M46" s="47"/>
      <c r="N46" s="48" t="s">
        <v>48</v>
      </c>
      <c r="O46" s="49" t="str">
        <f>VLOOKUP(L43,【進行】結果入力表!$B$7:$J$78,8,FALSE)</f>
        <v>林　秀忠</v>
      </c>
      <c r="P46" s="46"/>
      <c r="Q46" s="50"/>
      <c r="T46" s="45" t="str">
        <f>VLOOKUP(U43,【進行】結果入力表!$B$7:$J$78,3,FALSE)</f>
        <v>森田　憲</v>
      </c>
      <c r="U46" s="46"/>
      <c r="V46" s="47"/>
      <c r="W46" s="48" t="s">
        <v>48</v>
      </c>
      <c r="X46" s="49" t="str">
        <f>VLOOKUP(U43,【進行】結果入力表!$B$7:$J$78,8,FALSE)</f>
        <v>西峰　久祐</v>
      </c>
      <c r="Y46" s="46"/>
      <c r="Z46" s="50"/>
      <c r="AC46" s="45" t="str">
        <f>VLOOKUP(AD43,【進行】結果入力表!$B$7:$J$78,3,FALSE)</f>
        <v>和田　宗一郎</v>
      </c>
      <c r="AD46" s="46"/>
      <c r="AE46" s="47"/>
      <c r="AF46" s="48" t="s">
        <v>48</v>
      </c>
      <c r="AG46" s="49" t="str">
        <f>VLOOKUP(AD43,【進行】結果入力表!$B$7:$J$78,8,FALSE)</f>
        <v>山中　康裕</v>
      </c>
      <c r="AH46" s="46"/>
      <c r="AI46" s="50"/>
      <c r="AL46" s="45" t="str">
        <f>VLOOKUP(AM43,【進行】結果入力表!$B$7:$J$78,3,FALSE)</f>
        <v>杉本　博章</v>
      </c>
      <c r="AM46" s="46"/>
      <c r="AN46" s="47"/>
      <c r="AO46" s="48" t="s">
        <v>48</v>
      </c>
      <c r="AP46" s="49" t="str">
        <f>VLOOKUP(AM43,【進行】結果入力表!$B$7:$J$78,8,FALSE)</f>
        <v>柳川　哲也</v>
      </c>
      <c r="AQ46" s="46"/>
      <c r="AR46" s="50"/>
      <c r="AU46" s="45" t="str">
        <f>VLOOKUP(AV43,【進行】結果入力表!$B$7:$J$78,3,FALSE)</f>
        <v>末岡　修</v>
      </c>
      <c r="AV46" s="46"/>
      <c r="AW46" s="47"/>
      <c r="AX46" s="48" t="s">
        <v>48</v>
      </c>
      <c r="AY46" s="49" t="str">
        <f>VLOOKUP(AV43,【進行】結果入力表!$B$7:$J$78,8,FALSE)</f>
        <v>大橋　正寛</v>
      </c>
      <c r="AZ46" s="46"/>
      <c r="BA46" s="50"/>
      <c r="BD46" s="45" t="str">
        <f>VLOOKUP(BE43,【進行】結果入力表!$B$7:$J$78,3,FALSE)</f>
        <v>中本　雅大</v>
      </c>
      <c r="BE46" s="46"/>
      <c r="BF46" s="47"/>
      <c r="BG46" s="48" t="s">
        <v>48</v>
      </c>
      <c r="BH46" s="49" t="str">
        <f>VLOOKUP(BE43,【進行】結果入力表!$B$7:$J$78,8,FALSE)</f>
        <v>大橋　洋子</v>
      </c>
      <c r="BI46" s="46"/>
      <c r="BJ46" s="50"/>
      <c r="BM46" s="45" t="str">
        <f>VLOOKUP(BN43,【進行】結果入力表!$B$7:$J$78,3,FALSE)</f>
        <v/>
      </c>
      <c r="BN46" s="46"/>
      <c r="BO46" s="47"/>
      <c r="BP46" s="48" t="s">
        <v>48</v>
      </c>
      <c r="BQ46" s="49" t="str">
        <f>VLOOKUP(BN43,【進行】結果入力表!$B$7:$J$78,8,FALSE)</f>
        <v/>
      </c>
      <c r="BR46" s="46"/>
      <c r="BS46" s="50"/>
    </row>
    <row r="47" spans="2:72" ht="37.5" customHeight="1" x14ac:dyDescent="0.15">
      <c r="B47" s="37"/>
      <c r="C47" s="32"/>
      <c r="D47" s="33"/>
      <c r="E47" s="34" t="s">
        <v>49</v>
      </c>
      <c r="F47" s="38"/>
      <c r="G47" s="32"/>
      <c r="H47" s="36"/>
      <c r="K47" s="37"/>
      <c r="L47" s="32"/>
      <c r="M47" s="33"/>
      <c r="N47" s="34" t="s">
        <v>49</v>
      </c>
      <c r="O47" s="38"/>
      <c r="P47" s="32"/>
      <c r="Q47" s="36"/>
      <c r="T47" s="37"/>
      <c r="U47" s="32"/>
      <c r="V47" s="33"/>
      <c r="W47" s="34" t="s">
        <v>49</v>
      </c>
      <c r="X47" s="38"/>
      <c r="Y47" s="32"/>
      <c r="Z47" s="36"/>
      <c r="AC47" s="37"/>
      <c r="AD47" s="32"/>
      <c r="AE47" s="33"/>
      <c r="AF47" s="34" t="s">
        <v>49</v>
      </c>
      <c r="AG47" s="38"/>
      <c r="AH47" s="32"/>
      <c r="AI47" s="36"/>
      <c r="AL47" s="37"/>
      <c r="AM47" s="32"/>
      <c r="AN47" s="33"/>
      <c r="AO47" s="34" t="s">
        <v>49</v>
      </c>
      <c r="AP47" s="38"/>
      <c r="AQ47" s="32"/>
      <c r="AR47" s="36"/>
      <c r="AU47" s="37"/>
      <c r="AV47" s="32"/>
      <c r="AW47" s="33"/>
      <c r="AX47" s="34" t="s">
        <v>49</v>
      </c>
      <c r="AY47" s="38"/>
      <c r="AZ47" s="32"/>
      <c r="BA47" s="36"/>
      <c r="BD47" s="37"/>
      <c r="BE47" s="32"/>
      <c r="BF47" s="33"/>
      <c r="BG47" s="34" t="s">
        <v>49</v>
      </c>
      <c r="BH47" s="38"/>
      <c r="BI47" s="32"/>
      <c r="BJ47" s="36"/>
      <c r="BM47" s="37"/>
      <c r="BN47" s="32"/>
      <c r="BO47" s="33"/>
      <c r="BP47" s="34" t="s">
        <v>49</v>
      </c>
      <c r="BQ47" s="38"/>
      <c r="BR47" s="32"/>
      <c r="BS47" s="36"/>
    </row>
    <row r="48" spans="2:72" ht="37.5" customHeight="1" thickBot="1" x14ac:dyDescent="0.2">
      <c r="B48" s="39"/>
      <c r="C48" s="40"/>
      <c r="D48" s="41"/>
      <c r="E48" s="42" t="s">
        <v>50</v>
      </c>
      <c r="F48" s="43"/>
      <c r="G48" s="40"/>
      <c r="H48" s="44"/>
      <c r="K48" s="39"/>
      <c r="L48" s="40"/>
      <c r="M48" s="41"/>
      <c r="N48" s="42" t="s">
        <v>50</v>
      </c>
      <c r="O48" s="43"/>
      <c r="P48" s="40"/>
      <c r="Q48" s="44"/>
      <c r="T48" s="39"/>
      <c r="U48" s="40"/>
      <c r="V48" s="41"/>
      <c r="W48" s="42" t="s">
        <v>50</v>
      </c>
      <c r="X48" s="43"/>
      <c r="Y48" s="40"/>
      <c r="Z48" s="44"/>
      <c r="AC48" s="39"/>
      <c r="AD48" s="40"/>
      <c r="AE48" s="41"/>
      <c r="AF48" s="42" t="s">
        <v>50</v>
      </c>
      <c r="AG48" s="43"/>
      <c r="AH48" s="40"/>
      <c r="AI48" s="44"/>
      <c r="AL48" s="39"/>
      <c r="AM48" s="40"/>
      <c r="AN48" s="41"/>
      <c r="AO48" s="42" t="s">
        <v>50</v>
      </c>
      <c r="AP48" s="43"/>
      <c r="AQ48" s="40"/>
      <c r="AR48" s="44"/>
      <c r="AU48" s="39"/>
      <c r="AV48" s="40"/>
      <c r="AW48" s="41"/>
      <c r="AX48" s="42" t="s">
        <v>50</v>
      </c>
      <c r="AY48" s="43"/>
      <c r="AZ48" s="40"/>
      <c r="BA48" s="44"/>
      <c r="BD48" s="39"/>
      <c r="BE48" s="40"/>
      <c r="BF48" s="41"/>
      <c r="BG48" s="42" t="s">
        <v>50</v>
      </c>
      <c r="BH48" s="43"/>
      <c r="BI48" s="40"/>
      <c r="BJ48" s="44"/>
      <c r="BM48" s="39"/>
      <c r="BN48" s="40"/>
      <c r="BO48" s="41"/>
      <c r="BP48" s="42" t="s">
        <v>50</v>
      </c>
      <c r="BQ48" s="43"/>
      <c r="BR48" s="40"/>
      <c r="BS48" s="44"/>
    </row>
    <row r="50" spans="2:72" ht="17.25" x14ac:dyDescent="0.2">
      <c r="D50" s="23"/>
      <c r="E50" s="14" t="s">
        <v>52</v>
      </c>
      <c r="F50" s="52" t="str">
        <f>VLOOKUP(C43,【進行】結果入力表!$B$7:$M$78,11,FALSE)</f>
        <v>NRC</v>
      </c>
      <c r="G50" s="53" t="str">
        <f>VLOOKUP(C43,【進行】結果入力表!$B$7:$M$78,12,FALSE)</f>
        <v>白戸　恭子</v>
      </c>
      <c r="H50" s="23"/>
      <c r="M50" s="23"/>
      <c r="N50" s="14" t="s">
        <v>52</v>
      </c>
      <c r="O50" s="52" t="str">
        <f>VLOOKUP(L43,【進行】結果入力表!$B$7:$M$78,11,FALSE)</f>
        <v>NRC</v>
      </c>
      <c r="P50" s="53" t="str">
        <f>VLOOKUP(L43,【進行】結果入力表!$B$7:$M$78,12,FALSE)</f>
        <v>白戸　玲人</v>
      </c>
      <c r="Q50" s="23"/>
      <c r="V50" s="23"/>
      <c r="W50" s="14" t="s">
        <v>52</v>
      </c>
      <c r="X50" s="52" t="str">
        <f>VLOOKUP(U43,【進行】結果入力表!$B$7:$M$78,11,FALSE)</f>
        <v>NRC</v>
      </c>
      <c r="Y50" s="53" t="str">
        <f>VLOOKUP(U43,【進行】結果入力表!$B$7:$M$78,12,FALSE)</f>
        <v>吉向　翔平</v>
      </c>
      <c r="Z50" s="23"/>
      <c r="AE50" s="23"/>
      <c r="AF50" s="14" t="s">
        <v>52</v>
      </c>
      <c r="AG50" s="52" t="str">
        <f>VLOOKUP(AD43,【進行】結果入力表!$B$7:$M$78,11,FALSE)</f>
        <v>NRC</v>
      </c>
      <c r="AH50" s="53" t="str">
        <f>VLOOKUP(AD43,【進行】結果入力表!$B$7:$M$78,12,FALSE)</f>
        <v>植田　慎也</v>
      </c>
      <c r="AI50" s="23"/>
      <c r="AN50" s="23"/>
      <c r="AO50" s="14" t="s">
        <v>52</v>
      </c>
      <c r="AP50" s="52" t="str">
        <f>VLOOKUP(AM43,【進行】結果入力表!$B$7:$M$78,11,FALSE)</f>
        <v>NRC</v>
      </c>
      <c r="AQ50" s="53" t="str">
        <f>VLOOKUP(AM43,【進行】結果入力表!$B$7:$M$78,12,FALSE)</f>
        <v>岩本　剛</v>
      </c>
      <c r="AR50" s="23"/>
      <c r="AW50" s="23"/>
      <c r="AX50" s="14" t="s">
        <v>52</v>
      </c>
      <c r="AY50" s="52" t="str">
        <f>VLOOKUP(AV43,【進行】結果入力表!$B$7:$M$78,11,FALSE)</f>
        <v>NRC</v>
      </c>
      <c r="AZ50" s="53" t="str">
        <f>VLOOKUP(AV43,【進行】結果入力表!$B$7:$M$78,12,FALSE)</f>
        <v>斎藤　大輔</v>
      </c>
      <c r="BA50" s="23"/>
      <c r="BF50" s="23"/>
      <c r="BG50" s="14" t="s">
        <v>52</v>
      </c>
      <c r="BH50" s="52" t="str">
        <f>VLOOKUP(BE43,【進行】結果入力表!$B$7:$M$78,11,FALSE)</f>
        <v>NRC</v>
      </c>
      <c r="BI50" s="53" t="str">
        <f>VLOOKUP(BE43,【進行】結果入力表!$B$7:$M$78,12,FALSE)</f>
        <v>長谷川　進</v>
      </c>
      <c r="BJ50" s="23"/>
      <c r="BO50" s="23"/>
      <c r="BP50" s="14" t="s">
        <v>52</v>
      </c>
      <c r="BQ50" s="52" t="str">
        <f>VLOOKUP(BN43,【進行】結果入力表!$B$7:$M$78,11,FALSE)</f>
        <v>NRC</v>
      </c>
      <c r="BR50" s="53" t="str">
        <f>VLOOKUP(BN43,【進行】結果入力表!$B$7:$M$78,12,FALSE)</f>
        <v/>
      </c>
      <c r="BS50" s="23"/>
    </row>
    <row r="51" spans="2:72" ht="15" customHeight="1" x14ac:dyDescent="0.15">
      <c r="B51" s="19" t="str">
        <f>【結果】個人成績表!$A$1</f>
        <v>第17回　和奈滋対抗戦　　　(和歌山；オーシャンドリーム)</v>
      </c>
      <c r="C51" s="20"/>
      <c r="D51" s="20"/>
      <c r="E51" s="20"/>
      <c r="F51" s="20"/>
      <c r="G51" s="20"/>
      <c r="H51" s="21"/>
      <c r="K51" s="19" t="str">
        <f>【結果】個人成績表!$A$1</f>
        <v>第17回　和奈滋対抗戦　　　(和歌山；オーシャンドリーム)</v>
      </c>
      <c r="L51" s="20"/>
      <c r="M51" s="20"/>
      <c r="N51" s="20"/>
      <c r="O51" s="20"/>
      <c r="P51" s="20"/>
      <c r="Q51" s="21"/>
      <c r="T51" s="19" t="str">
        <f>【結果】個人成績表!$A$1</f>
        <v>第17回　和奈滋対抗戦　　　(和歌山；オーシャンドリーム)</v>
      </c>
      <c r="U51" s="20"/>
      <c r="V51" s="20"/>
      <c r="W51" s="20"/>
      <c r="X51" s="20"/>
      <c r="Y51" s="20"/>
      <c r="Z51" s="21"/>
      <c r="AC51" s="19" t="str">
        <f>【結果】個人成績表!$A$1</f>
        <v>第17回　和奈滋対抗戦　　　(和歌山；オーシャンドリーム)</v>
      </c>
      <c r="AD51" s="20"/>
      <c r="AE51" s="20"/>
      <c r="AF51" s="20"/>
      <c r="AG51" s="20"/>
      <c r="AH51" s="20"/>
      <c r="AI51" s="21"/>
      <c r="AL51" s="19" t="str">
        <f>【結果】個人成績表!$A$1</f>
        <v>第17回　和奈滋対抗戦　　　(和歌山；オーシャンドリーム)</v>
      </c>
      <c r="AM51" s="20"/>
      <c r="AN51" s="20"/>
      <c r="AO51" s="20"/>
      <c r="AP51" s="20"/>
      <c r="AQ51" s="20"/>
      <c r="AR51" s="21"/>
      <c r="AU51" s="19" t="str">
        <f>【結果】個人成績表!$A$1</f>
        <v>第17回　和奈滋対抗戦　　　(和歌山；オーシャンドリーム)</v>
      </c>
      <c r="AV51" s="20"/>
      <c r="AW51" s="20"/>
      <c r="AX51" s="20"/>
      <c r="AY51" s="20"/>
      <c r="AZ51" s="20"/>
      <c r="BA51" s="21"/>
      <c r="BD51" s="19" t="str">
        <f>【結果】個人成績表!$A$1</f>
        <v>第17回　和奈滋対抗戦　　　(和歌山；オーシャンドリーム)</v>
      </c>
      <c r="BE51" s="20"/>
      <c r="BF51" s="20"/>
      <c r="BG51" s="20"/>
      <c r="BH51" s="20"/>
      <c r="BI51" s="20"/>
      <c r="BJ51" s="21"/>
      <c r="BM51" s="19" t="str">
        <f>【結果】個人成績表!$A$1</f>
        <v>第17回　和奈滋対抗戦　　　(和歌山；オーシャンドリーム)</v>
      </c>
      <c r="BN51" s="20"/>
      <c r="BO51" s="20"/>
      <c r="BP51" s="20"/>
      <c r="BQ51" s="20"/>
      <c r="BR51" s="20"/>
      <c r="BS51" s="21"/>
      <c r="BT51" t="s">
        <v>43</v>
      </c>
    </row>
    <row r="53" spans="2:72" s="22" customFormat="1" ht="15" customHeight="1" x14ac:dyDescent="0.2">
      <c r="B53" s="23" t="s">
        <v>45</v>
      </c>
      <c r="C53" s="24">
        <f>【進行】結果入力表!B39</f>
        <v>29</v>
      </c>
      <c r="F53" s="23" t="s">
        <v>46</v>
      </c>
      <c r="G53" s="24"/>
      <c r="K53" s="23" t="s">
        <v>45</v>
      </c>
      <c r="L53" s="24">
        <f>【進行】結果入力表!B40</f>
        <v>30</v>
      </c>
      <c r="O53" s="23" t="s">
        <v>46</v>
      </c>
      <c r="P53" s="24"/>
      <c r="T53" s="23" t="s">
        <v>45</v>
      </c>
      <c r="U53" s="24">
        <f>【進行】結果入力表!B41</f>
        <v>31</v>
      </c>
      <c r="X53" s="23" t="s">
        <v>46</v>
      </c>
      <c r="Y53" s="24"/>
      <c r="AC53" s="23" t="s">
        <v>45</v>
      </c>
      <c r="AD53" s="24">
        <f>【進行】結果入力表!B42</f>
        <v>32</v>
      </c>
      <c r="AG53" s="23" t="s">
        <v>46</v>
      </c>
      <c r="AH53" s="24"/>
      <c r="AL53" s="23" t="s">
        <v>45</v>
      </c>
      <c r="AM53" s="24">
        <f>【進行】結果入力表!B43</f>
        <v>33</v>
      </c>
      <c r="AP53" s="23" t="s">
        <v>46</v>
      </c>
      <c r="AQ53" s="24"/>
      <c r="AU53" s="23" t="s">
        <v>45</v>
      </c>
      <c r="AV53" s="24">
        <f>【進行】結果入力表!B44</f>
        <v>34</v>
      </c>
      <c r="AY53" s="23" t="s">
        <v>46</v>
      </c>
      <c r="AZ53" s="24"/>
      <c r="BD53" s="23" t="s">
        <v>45</v>
      </c>
      <c r="BE53" s="24">
        <f>【進行】結果入力表!B45</f>
        <v>35</v>
      </c>
      <c r="BH53" s="23" t="s">
        <v>46</v>
      </c>
      <c r="BI53" s="24"/>
      <c r="BM53" s="23" t="s">
        <v>45</v>
      </c>
      <c r="BN53" s="24" t="str">
        <f>【進行】結果入力表!B46</f>
        <v/>
      </c>
      <c r="BQ53" s="23" t="s">
        <v>46</v>
      </c>
      <c r="BR53" s="24"/>
    </row>
    <row r="55" spans="2:72" ht="31.5" customHeight="1" x14ac:dyDescent="0.15">
      <c r="B55" s="25" t="str">
        <f>VLOOKUP(C53,【進行】結果入力表!$B$7:$J$78,2,FALSE)</f>
        <v>WRC</v>
      </c>
      <c r="C55" s="26"/>
      <c r="D55" s="27"/>
      <c r="E55" s="28" t="s">
        <v>47</v>
      </c>
      <c r="F55" s="29" t="str">
        <f>VLOOKUP(C53,【進行】結果入力表!$B$7:$J$78,9,FALSE)</f>
        <v>NRC</v>
      </c>
      <c r="G55" s="26"/>
      <c r="H55" s="30"/>
      <c r="K55" s="25" t="str">
        <f>VLOOKUP(L53,【進行】結果入力表!$B$7:$J$78,2,FALSE)</f>
        <v>WRC</v>
      </c>
      <c r="L55" s="26"/>
      <c r="M55" s="27"/>
      <c r="N55" s="28" t="s">
        <v>47</v>
      </c>
      <c r="O55" s="29" t="str">
        <f>VLOOKUP(L53,【進行】結果入力表!$B$7:$J$78,9,FALSE)</f>
        <v>NRC</v>
      </c>
      <c r="P55" s="26"/>
      <c r="Q55" s="30"/>
      <c r="T55" s="25" t="str">
        <f>VLOOKUP(U53,【進行】結果入力表!$B$7:$J$78,2,FALSE)</f>
        <v>WRC</v>
      </c>
      <c r="U55" s="26"/>
      <c r="V55" s="27"/>
      <c r="W55" s="28" t="s">
        <v>47</v>
      </c>
      <c r="X55" s="29" t="str">
        <f>VLOOKUP(U53,【進行】結果入力表!$B$7:$J$78,9,FALSE)</f>
        <v>NRC</v>
      </c>
      <c r="Y55" s="26"/>
      <c r="Z55" s="30"/>
      <c r="AC55" s="25" t="str">
        <f>VLOOKUP(AD53,【進行】結果入力表!$B$7:$J$78,2,FALSE)</f>
        <v>WRC</v>
      </c>
      <c r="AD55" s="26"/>
      <c r="AE55" s="27"/>
      <c r="AF55" s="28" t="s">
        <v>47</v>
      </c>
      <c r="AG55" s="29" t="str">
        <f>VLOOKUP(AD53,【進行】結果入力表!$B$7:$J$78,9,FALSE)</f>
        <v>NRC</v>
      </c>
      <c r="AH55" s="26"/>
      <c r="AI55" s="30"/>
      <c r="AL55" s="25" t="str">
        <f>VLOOKUP(AM53,【進行】結果入力表!$B$7:$J$78,2,FALSE)</f>
        <v>WRC</v>
      </c>
      <c r="AM55" s="26"/>
      <c r="AN55" s="27"/>
      <c r="AO55" s="28" t="s">
        <v>47</v>
      </c>
      <c r="AP55" s="29" t="str">
        <f>VLOOKUP(AM53,【進行】結果入力表!$B$7:$J$78,9,FALSE)</f>
        <v>NRC</v>
      </c>
      <c r="AQ55" s="26"/>
      <c r="AR55" s="30"/>
      <c r="AU55" s="25" t="str">
        <f>VLOOKUP(AV53,【進行】結果入力表!$B$7:$J$78,2,FALSE)</f>
        <v>WRC</v>
      </c>
      <c r="AV55" s="26"/>
      <c r="AW55" s="27"/>
      <c r="AX55" s="28" t="s">
        <v>47</v>
      </c>
      <c r="AY55" s="29" t="str">
        <f>VLOOKUP(AV53,【進行】結果入力表!$B$7:$J$78,9,FALSE)</f>
        <v>NRC</v>
      </c>
      <c r="AZ55" s="26"/>
      <c r="BA55" s="30"/>
      <c r="BD55" s="25" t="str">
        <f>VLOOKUP(BE53,【進行】結果入力表!$B$7:$J$78,2,FALSE)</f>
        <v>WRC</v>
      </c>
      <c r="BE55" s="26"/>
      <c r="BF55" s="27"/>
      <c r="BG55" s="28" t="s">
        <v>47</v>
      </c>
      <c r="BH55" s="29" t="str">
        <f>VLOOKUP(BE53,【進行】結果入力表!$B$7:$J$78,9,FALSE)</f>
        <v>NRC</v>
      </c>
      <c r="BI55" s="26"/>
      <c r="BJ55" s="30"/>
      <c r="BM55" s="25" t="str">
        <f>VLOOKUP(BN53,【進行】結果入力表!$B$7:$J$78,2,FALSE)</f>
        <v>WRC</v>
      </c>
      <c r="BN55" s="26"/>
      <c r="BO55" s="27"/>
      <c r="BP55" s="28" t="s">
        <v>47</v>
      </c>
      <c r="BQ55" s="29" t="str">
        <f>VLOOKUP(BN53,【進行】結果入力表!$B$7:$J$78,9,FALSE)</f>
        <v>SBC</v>
      </c>
      <c r="BR55" s="26"/>
      <c r="BS55" s="30"/>
    </row>
    <row r="56" spans="2:72" s="51" customFormat="1" ht="46.5" customHeight="1" x14ac:dyDescent="0.15">
      <c r="B56" s="45" t="str">
        <f>VLOOKUP(C53,【進行】結果入力表!$B$7:$J$78,3,FALSE)</f>
        <v>大迫　忠典</v>
      </c>
      <c r="C56" s="46"/>
      <c r="D56" s="47"/>
      <c r="E56" s="48" t="s">
        <v>48</v>
      </c>
      <c r="F56" s="49" t="str">
        <f>VLOOKUP(C53,【進行】結果入力表!$B$7:$J$78,8,FALSE)</f>
        <v>白戸　恭子</v>
      </c>
      <c r="G56" s="46"/>
      <c r="H56" s="50"/>
      <c r="K56" s="45" t="str">
        <f>VLOOKUP(L53,【進行】結果入力表!$B$7:$J$78,3,FALSE)</f>
        <v>松房　ゆかり</v>
      </c>
      <c r="L56" s="46"/>
      <c r="M56" s="47"/>
      <c r="N56" s="48" t="s">
        <v>48</v>
      </c>
      <c r="O56" s="49" t="str">
        <f>VLOOKUP(L53,【進行】結果入力表!$B$7:$J$78,8,FALSE)</f>
        <v>白戸　玲人</v>
      </c>
      <c r="P56" s="46"/>
      <c r="Q56" s="50"/>
      <c r="T56" s="45" t="str">
        <f>VLOOKUP(U53,【進行】結果入力表!$B$7:$J$78,3,FALSE)</f>
        <v>森田　憲</v>
      </c>
      <c r="U56" s="46"/>
      <c r="V56" s="47"/>
      <c r="W56" s="48" t="s">
        <v>48</v>
      </c>
      <c r="X56" s="49" t="str">
        <f>VLOOKUP(U53,【進行】結果入力表!$B$7:$J$78,8,FALSE)</f>
        <v>吉向　翔平</v>
      </c>
      <c r="Y56" s="46"/>
      <c r="Z56" s="50"/>
      <c r="AC56" s="45" t="str">
        <f>VLOOKUP(AD53,【進行】結果入力表!$B$7:$J$78,3,FALSE)</f>
        <v>和田　宗一郎</v>
      </c>
      <c r="AD56" s="46"/>
      <c r="AE56" s="47"/>
      <c r="AF56" s="48" t="s">
        <v>48</v>
      </c>
      <c r="AG56" s="49" t="str">
        <f>VLOOKUP(AD53,【進行】結果入力表!$B$7:$J$78,8,FALSE)</f>
        <v>植田　慎也</v>
      </c>
      <c r="AH56" s="46"/>
      <c r="AI56" s="50"/>
      <c r="AL56" s="45" t="str">
        <f>VLOOKUP(AM53,【進行】結果入力表!$B$7:$J$78,3,FALSE)</f>
        <v>杉本　博章</v>
      </c>
      <c r="AM56" s="46"/>
      <c r="AN56" s="47"/>
      <c r="AO56" s="48" t="s">
        <v>48</v>
      </c>
      <c r="AP56" s="49" t="str">
        <f>VLOOKUP(AM53,【進行】結果入力表!$B$7:$J$78,8,FALSE)</f>
        <v>岩本　剛</v>
      </c>
      <c r="AQ56" s="46"/>
      <c r="AR56" s="50"/>
      <c r="AU56" s="45" t="str">
        <f>VLOOKUP(AV53,【進行】結果入力表!$B$7:$J$78,3,FALSE)</f>
        <v>末岡　修</v>
      </c>
      <c r="AV56" s="46"/>
      <c r="AW56" s="47"/>
      <c r="AX56" s="48" t="s">
        <v>48</v>
      </c>
      <c r="AY56" s="49" t="str">
        <f>VLOOKUP(AV53,【進行】結果入力表!$B$7:$J$78,8,FALSE)</f>
        <v>斎藤　大輔</v>
      </c>
      <c r="AZ56" s="46"/>
      <c r="BA56" s="50"/>
      <c r="BD56" s="45" t="str">
        <f>VLOOKUP(BE53,【進行】結果入力表!$B$7:$J$78,3,FALSE)</f>
        <v>中本　雅大</v>
      </c>
      <c r="BE56" s="46"/>
      <c r="BF56" s="47"/>
      <c r="BG56" s="48" t="s">
        <v>48</v>
      </c>
      <c r="BH56" s="49" t="str">
        <f>VLOOKUP(BE53,【進行】結果入力表!$B$7:$J$78,8,FALSE)</f>
        <v>長谷川　進</v>
      </c>
      <c r="BI56" s="46"/>
      <c r="BJ56" s="50"/>
      <c r="BM56" s="45" t="str">
        <f>VLOOKUP(BN53,【進行】結果入力表!$B$7:$J$78,3,FALSE)</f>
        <v/>
      </c>
      <c r="BN56" s="46"/>
      <c r="BO56" s="47"/>
      <c r="BP56" s="48" t="s">
        <v>48</v>
      </c>
      <c r="BQ56" s="49" t="str">
        <f>VLOOKUP(BN53,【進行】結果入力表!$B$7:$J$78,8,FALSE)</f>
        <v/>
      </c>
      <c r="BR56" s="46"/>
      <c r="BS56" s="50"/>
    </row>
    <row r="57" spans="2:72" ht="37.5" customHeight="1" x14ac:dyDescent="0.15">
      <c r="B57" s="37"/>
      <c r="C57" s="32"/>
      <c r="D57" s="33"/>
      <c r="E57" s="34" t="s">
        <v>49</v>
      </c>
      <c r="F57" s="38"/>
      <c r="G57" s="32"/>
      <c r="H57" s="36"/>
      <c r="K57" s="37"/>
      <c r="L57" s="32"/>
      <c r="M57" s="33"/>
      <c r="N57" s="34" t="s">
        <v>49</v>
      </c>
      <c r="O57" s="38"/>
      <c r="P57" s="32"/>
      <c r="Q57" s="36"/>
      <c r="T57" s="37"/>
      <c r="U57" s="32"/>
      <c r="V57" s="33"/>
      <c r="W57" s="34" t="s">
        <v>49</v>
      </c>
      <c r="X57" s="38"/>
      <c r="Y57" s="32"/>
      <c r="Z57" s="36"/>
      <c r="AC57" s="37"/>
      <c r="AD57" s="32"/>
      <c r="AE57" s="33"/>
      <c r="AF57" s="34" t="s">
        <v>49</v>
      </c>
      <c r="AG57" s="38"/>
      <c r="AH57" s="32"/>
      <c r="AI57" s="36"/>
      <c r="AL57" s="37"/>
      <c r="AM57" s="32"/>
      <c r="AN57" s="33"/>
      <c r="AO57" s="34" t="s">
        <v>49</v>
      </c>
      <c r="AP57" s="38"/>
      <c r="AQ57" s="32"/>
      <c r="AR57" s="36"/>
      <c r="AU57" s="37"/>
      <c r="AV57" s="32"/>
      <c r="AW57" s="33"/>
      <c r="AX57" s="34" t="s">
        <v>49</v>
      </c>
      <c r="AY57" s="38"/>
      <c r="AZ57" s="32"/>
      <c r="BA57" s="36"/>
      <c r="BD57" s="37"/>
      <c r="BE57" s="32"/>
      <c r="BF57" s="33"/>
      <c r="BG57" s="34" t="s">
        <v>49</v>
      </c>
      <c r="BH57" s="38"/>
      <c r="BI57" s="32"/>
      <c r="BJ57" s="36"/>
      <c r="BM57" s="37"/>
      <c r="BN57" s="32"/>
      <c r="BO57" s="33"/>
      <c r="BP57" s="34" t="s">
        <v>49</v>
      </c>
      <c r="BQ57" s="38"/>
      <c r="BR57" s="32"/>
      <c r="BS57" s="36"/>
    </row>
    <row r="58" spans="2:72" ht="37.5" customHeight="1" thickBot="1" x14ac:dyDescent="0.2">
      <c r="B58" s="39"/>
      <c r="C58" s="40"/>
      <c r="D58" s="41"/>
      <c r="E58" s="42" t="s">
        <v>50</v>
      </c>
      <c r="F58" s="43"/>
      <c r="G58" s="40"/>
      <c r="H58" s="44"/>
      <c r="K58" s="39"/>
      <c r="L58" s="40"/>
      <c r="M58" s="41"/>
      <c r="N58" s="42" t="s">
        <v>50</v>
      </c>
      <c r="O58" s="43"/>
      <c r="P58" s="40"/>
      <c r="Q58" s="44"/>
      <c r="T58" s="39"/>
      <c r="U58" s="40"/>
      <c r="V58" s="41"/>
      <c r="W58" s="42" t="s">
        <v>50</v>
      </c>
      <c r="X58" s="43"/>
      <c r="Y58" s="40"/>
      <c r="Z58" s="44"/>
      <c r="AC58" s="39"/>
      <c r="AD58" s="40"/>
      <c r="AE58" s="41"/>
      <c r="AF58" s="42" t="s">
        <v>50</v>
      </c>
      <c r="AG58" s="43"/>
      <c r="AH58" s="40"/>
      <c r="AI58" s="44"/>
      <c r="AL58" s="39"/>
      <c r="AM58" s="40"/>
      <c r="AN58" s="41"/>
      <c r="AO58" s="42" t="s">
        <v>50</v>
      </c>
      <c r="AP58" s="43"/>
      <c r="AQ58" s="40"/>
      <c r="AR58" s="44"/>
      <c r="AU58" s="39"/>
      <c r="AV58" s="40"/>
      <c r="AW58" s="41"/>
      <c r="AX58" s="42" t="s">
        <v>50</v>
      </c>
      <c r="AY58" s="43"/>
      <c r="AZ58" s="40"/>
      <c r="BA58" s="44"/>
      <c r="BD58" s="39"/>
      <c r="BE58" s="40"/>
      <c r="BF58" s="41"/>
      <c r="BG58" s="42" t="s">
        <v>50</v>
      </c>
      <c r="BH58" s="43"/>
      <c r="BI58" s="40"/>
      <c r="BJ58" s="44"/>
      <c r="BM58" s="39"/>
      <c r="BN58" s="40"/>
      <c r="BO58" s="41"/>
      <c r="BP58" s="42" t="s">
        <v>50</v>
      </c>
      <c r="BQ58" s="43"/>
      <c r="BR58" s="40"/>
      <c r="BS58" s="44"/>
    </row>
    <row r="60" spans="2:72" ht="17.25" x14ac:dyDescent="0.2">
      <c r="D60" s="23"/>
      <c r="E60" s="14" t="s">
        <v>52</v>
      </c>
      <c r="F60" s="52" t="str">
        <f>VLOOKUP(C53,【進行】結果入力表!$B$7:$M$78,11,FALSE)</f>
        <v>SBC</v>
      </c>
      <c r="G60" s="53" t="str">
        <f>VLOOKUP(C53,【進行】結果入力表!$B$7:$M$78,12,FALSE)</f>
        <v>大橋　義治</v>
      </c>
      <c r="H60" s="23"/>
      <c r="M60" s="23"/>
      <c r="N60" s="14" t="s">
        <v>52</v>
      </c>
      <c r="O60" s="52" t="str">
        <f>VLOOKUP(L53,【進行】結果入力表!$B$7:$M$78,11,FALSE)</f>
        <v>SBC</v>
      </c>
      <c r="P60" s="53" t="str">
        <f>VLOOKUP(L53,【進行】結果入力表!$B$7:$M$78,12,FALSE)</f>
        <v>林　秀忠</v>
      </c>
      <c r="Q60" s="23"/>
      <c r="V60" s="23"/>
      <c r="W60" s="14" t="s">
        <v>52</v>
      </c>
      <c r="X60" s="52" t="str">
        <f>VLOOKUP(U53,【進行】結果入力表!$B$7:$M$78,11,FALSE)</f>
        <v>SBC</v>
      </c>
      <c r="Y60" s="53" t="str">
        <f>VLOOKUP(U53,【進行】結果入力表!$B$7:$M$78,12,FALSE)</f>
        <v>西峰　久祐</v>
      </c>
      <c r="Z60" s="23"/>
      <c r="AE60" s="23"/>
      <c r="AF60" s="14" t="s">
        <v>52</v>
      </c>
      <c r="AG60" s="52" t="str">
        <f>VLOOKUP(AD53,【進行】結果入力表!$B$7:$M$78,11,FALSE)</f>
        <v>SBC</v>
      </c>
      <c r="AH60" s="53" t="str">
        <f>VLOOKUP(AD53,【進行】結果入力表!$B$7:$M$78,12,FALSE)</f>
        <v>山中　康裕</v>
      </c>
      <c r="AI60" s="23"/>
      <c r="AN60" s="23"/>
      <c r="AO60" s="14" t="s">
        <v>52</v>
      </c>
      <c r="AP60" s="52" t="str">
        <f>VLOOKUP(AM53,【進行】結果入力表!$B$7:$M$78,11,FALSE)</f>
        <v>SBC</v>
      </c>
      <c r="AQ60" s="53" t="str">
        <f>VLOOKUP(AM53,【進行】結果入力表!$B$7:$M$78,12,FALSE)</f>
        <v>柳川　哲也</v>
      </c>
      <c r="AR60" s="23"/>
      <c r="AW60" s="23"/>
      <c r="AX60" s="14" t="s">
        <v>52</v>
      </c>
      <c r="AY60" s="52" t="str">
        <f>VLOOKUP(AV53,【進行】結果入力表!$B$7:$M$78,11,FALSE)</f>
        <v>SBC</v>
      </c>
      <c r="AZ60" s="53" t="str">
        <f>VLOOKUP(AV53,【進行】結果入力表!$B$7:$M$78,12,FALSE)</f>
        <v>大橋　正寛</v>
      </c>
      <c r="BA60" s="23"/>
      <c r="BF60" s="23"/>
      <c r="BG60" s="14" t="s">
        <v>52</v>
      </c>
      <c r="BH60" s="52" t="str">
        <f>VLOOKUP(BE53,【進行】結果入力表!$B$7:$M$78,11,FALSE)</f>
        <v>SBC</v>
      </c>
      <c r="BI60" s="53" t="str">
        <f>VLOOKUP(BE53,【進行】結果入力表!$B$7:$M$78,12,FALSE)</f>
        <v>大橋　洋子</v>
      </c>
      <c r="BJ60" s="23"/>
      <c r="BO60" s="23"/>
      <c r="BP60" s="14" t="s">
        <v>52</v>
      </c>
      <c r="BQ60" s="52" t="str">
        <f>VLOOKUP(BN53,【進行】結果入力表!$B$7:$M$78,11,FALSE)</f>
        <v>NRC</v>
      </c>
      <c r="BR60" s="53" t="str">
        <f>VLOOKUP(BN53,【進行】結果入力表!$B$7:$M$78,12,FALSE)</f>
        <v/>
      </c>
      <c r="BS60" s="23"/>
    </row>
    <row r="61" spans="2:72" ht="15" customHeight="1" x14ac:dyDescent="0.15">
      <c r="B61" s="19" t="str">
        <f>【結果】個人成績表!$A$1</f>
        <v>第17回　和奈滋対抗戦　　　(和歌山；オーシャンドリーム)</v>
      </c>
      <c r="C61" s="20"/>
      <c r="D61" s="20"/>
      <c r="E61" s="20"/>
      <c r="F61" s="20"/>
      <c r="G61" s="20"/>
      <c r="H61" s="21"/>
      <c r="K61" s="19" t="str">
        <f>【結果】個人成績表!$A$1</f>
        <v>第17回　和奈滋対抗戦　　　(和歌山；オーシャンドリーム)</v>
      </c>
      <c r="L61" s="20"/>
      <c r="M61" s="20"/>
      <c r="N61" s="20"/>
      <c r="O61" s="20"/>
      <c r="P61" s="20"/>
      <c r="Q61" s="21"/>
      <c r="T61" s="19" t="str">
        <f>【結果】個人成績表!$A$1</f>
        <v>第17回　和奈滋対抗戦　　　(和歌山；オーシャンドリーム)</v>
      </c>
      <c r="U61" s="20"/>
      <c r="V61" s="20"/>
      <c r="W61" s="20"/>
      <c r="X61" s="20"/>
      <c r="Y61" s="20"/>
      <c r="Z61" s="21"/>
      <c r="AC61" s="19" t="str">
        <f>【結果】個人成績表!$A$1</f>
        <v>第17回　和奈滋対抗戦　　　(和歌山；オーシャンドリーム)</v>
      </c>
      <c r="AD61" s="20"/>
      <c r="AE61" s="20"/>
      <c r="AF61" s="20"/>
      <c r="AG61" s="20"/>
      <c r="AH61" s="20"/>
      <c r="AI61" s="21"/>
      <c r="AL61" s="19" t="str">
        <f>【結果】個人成績表!$A$1</f>
        <v>第17回　和奈滋対抗戦　　　(和歌山；オーシャンドリーム)</v>
      </c>
      <c r="AM61" s="20"/>
      <c r="AN61" s="20"/>
      <c r="AO61" s="20"/>
      <c r="AP61" s="20"/>
      <c r="AQ61" s="20"/>
      <c r="AR61" s="21"/>
      <c r="AU61" s="19" t="str">
        <f>【結果】個人成績表!$A$1</f>
        <v>第17回　和奈滋対抗戦　　　(和歌山；オーシャンドリーム)</v>
      </c>
      <c r="AV61" s="20"/>
      <c r="AW61" s="20"/>
      <c r="AX61" s="20"/>
      <c r="AY61" s="20"/>
      <c r="AZ61" s="20"/>
      <c r="BA61" s="21"/>
      <c r="BD61" s="19" t="str">
        <f>【結果】個人成績表!$A$1</f>
        <v>第17回　和奈滋対抗戦　　　(和歌山；オーシャンドリーム)</v>
      </c>
      <c r="BE61" s="20"/>
      <c r="BF61" s="20"/>
      <c r="BG61" s="20"/>
      <c r="BH61" s="20"/>
      <c r="BI61" s="20"/>
      <c r="BJ61" s="21"/>
      <c r="BM61" s="19" t="str">
        <f>【結果】個人成績表!$A$1</f>
        <v>第17回　和奈滋対抗戦　　　(和歌山；オーシャンドリーム)</v>
      </c>
      <c r="BN61" s="20"/>
      <c r="BO61" s="20"/>
      <c r="BP61" s="20"/>
      <c r="BQ61" s="20"/>
      <c r="BR61" s="20"/>
      <c r="BS61" s="21"/>
      <c r="BT61" t="s">
        <v>43</v>
      </c>
    </row>
    <row r="63" spans="2:72" s="22" customFormat="1" ht="15" customHeight="1" x14ac:dyDescent="0.2">
      <c r="B63" s="23" t="s">
        <v>45</v>
      </c>
      <c r="C63" s="24">
        <f>【進行】結果入力表!B47</f>
        <v>36</v>
      </c>
      <c r="F63" s="23" t="s">
        <v>46</v>
      </c>
      <c r="G63" s="24"/>
      <c r="K63" s="23" t="s">
        <v>45</v>
      </c>
      <c r="L63" s="24">
        <f>【進行】結果入力表!B48</f>
        <v>37</v>
      </c>
      <c r="O63" s="23" t="s">
        <v>46</v>
      </c>
      <c r="P63" s="24"/>
      <c r="T63" s="23" t="s">
        <v>45</v>
      </c>
      <c r="U63" s="24">
        <f>【進行】結果入力表!B49</f>
        <v>38</v>
      </c>
      <c r="X63" s="23" t="s">
        <v>46</v>
      </c>
      <c r="Y63" s="24"/>
      <c r="AC63" s="23" t="s">
        <v>45</v>
      </c>
      <c r="AD63" s="24">
        <f>【進行】結果入力表!B50</f>
        <v>39</v>
      </c>
      <c r="AG63" s="23" t="s">
        <v>46</v>
      </c>
      <c r="AH63" s="24"/>
      <c r="AL63" s="23" t="s">
        <v>45</v>
      </c>
      <c r="AM63" s="24">
        <f>【進行】結果入力表!B51</f>
        <v>40</v>
      </c>
      <c r="AP63" s="23" t="s">
        <v>46</v>
      </c>
      <c r="AQ63" s="24"/>
      <c r="AU63" s="23" t="s">
        <v>45</v>
      </c>
      <c r="AV63" s="24">
        <f>【進行】結果入力表!B52</f>
        <v>41</v>
      </c>
      <c r="AY63" s="23" t="s">
        <v>46</v>
      </c>
      <c r="AZ63" s="24"/>
      <c r="BD63" s="23" t="s">
        <v>45</v>
      </c>
      <c r="BE63" s="24">
        <f>【進行】結果入力表!B53</f>
        <v>42</v>
      </c>
      <c r="BH63" s="23" t="s">
        <v>46</v>
      </c>
      <c r="BI63" s="24"/>
      <c r="BM63" s="23" t="s">
        <v>45</v>
      </c>
      <c r="BN63" s="24" t="str">
        <f>【進行】結果入力表!B54</f>
        <v/>
      </c>
      <c r="BQ63" s="23" t="s">
        <v>46</v>
      </c>
      <c r="BR63" s="24"/>
    </row>
    <row r="65" spans="2:72" ht="31.5" customHeight="1" x14ac:dyDescent="0.15">
      <c r="B65" s="25" t="str">
        <f>VLOOKUP(C63,【進行】結果入力表!$B$7:$J$78,2,FALSE)</f>
        <v>NRC</v>
      </c>
      <c r="C65" s="26"/>
      <c r="D65" s="27"/>
      <c r="E65" s="28" t="s">
        <v>47</v>
      </c>
      <c r="F65" s="29" t="str">
        <f>VLOOKUP(C63,【進行】結果入力表!$B$7:$J$78,9,FALSE)</f>
        <v>SBC</v>
      </c>
      <c r="G65" s="26"/>
      <c r="H65" s="30"/>
      <c r="K65" s="25" t="str">
        <f>VLOOKUP(L63,【進行】結果入力表!$B$7:$J$78,2,FALSE)</f>
        <v>NRC</v>
      </c>
      <c r="L65" s="26"/>
      <c r="M65" s="27"/>
      <c r="N65" s="28" t="s">
        <v>47</v>
      </c>
      <c r="O65" s="29" t="str">
        <f>VLOOKUP(L63,【進行】結果入力表!$B$7:$J$78,9,FALSE)</f>
        <v>SBC</v>
      </c>
      <c r="P65" s="26"/>
      <c r="Q65" s="30"/>
      <c r="T65" s="25" t="str">
        <f>VLOOKUP(U63,【進行】結果入力表!$B$7:$J$78,2,FALSE)</f>
        <v>NRC</v>
      </c>
      <c r="U65" s="26"/>
      <c r="V65" s="27"/>
      <c r="W65" s="28" t="s">
        <v>47</v>
      </c>
      <c r="X65" s="29" t="str">
        <f>VLOOKUP(U63,【進行】結果入力表!$B$7:$J$78,9,FALSE)</f>
        <v>SBC</v>
      </c>
      <c r="Y65" s="26"/>
      <c r="Z65" s="30"/>
      <c r="AC65" s="25" t="str">
        <f>VLOOKUP(AD63,【進行】結果入力表!$B$7:$J$78,2,FALSE)</f>
        <v>NRC</v>
      </c>
      <c r="AD65" s="26"/>
      <c r="AE65" s="27"/>
      <c r="AF65" s="28" t="s">
        <v>47</v>
      </c>
      <c r="AG65" s="29" t="str">
        <f>VLOOKUP(AD63,【進行】結果入力表!$B$7:$J$78,9,FALSE)</f>
        <v>SBC</v>
      </c>
      <c r="AH65" s="26"/>
      <c r="AI65" s="30"/>
      <c r="AL65" s="25" t="str">
        <f>VLOOKUP(AM63,【進行】結果入力表!$B$7:$J$78,2,FALSE)</f>
        <v>NRC</v>
      </c>
      <c r="AM65" s="26"/>
      <c r="AN65" s="27"/>
      <c r="AO65" s="28" t="s">
        <v>47</v>
      </c>
      <c r="AP65" s="29" t="str">
        <f>VLOOKUP(AM63,【進行】結果入力表!$B$7:$J$78,9,FALSE)</f>
        <v>SBC</v>
      </c>
      <c r="AQ65" s="26"/>
      <c r="AR65" s="30"/>
      <c r="AU65" s="25" t="str">
        <f>VLOOKUP(AV63,【進行】結果入力表!$B$7:$J$78,2,FALSE)</f>
        <v>NRC</v>
      </c>
      <c r="AV65" s="26"/>
      <c r="AW65" s="27"/>
      <c r="AX65" s="28" t="s">
        <v>47</v>
      </c>
      <c r="AY65" s="29" t="str">
        <f>VLOOKUP(AV63,【進行】結果入力表!$B$7:$J$78,9,FALSE)</f>
        <v>SBC</v>
      </c>
      <c r="AZ65" s="26"/>
      <c r="BA65" s="30"/>
      <c r="BD65" s="25" t="str">
        <f>VLOOKUP(BE63,【進行】結果入力表!$B$7:$J$78,2,FALSE)</f>
        <v>NRC</v>
      </c>
      <c r="BE65" s="26"/>
      <c r="BF65" s="27"/>
      <c r="BG65" s="28" t="s">
        <v>47</v>
      </c>
      <c r="BH65" s="29" t="str">
        <f>VLOOKUP(BE63,【進行】結果入力表!$B$7:$J$78,9,FALSE)</f>
        <v>SBC</v>
      </c>
      <c r="BI65" s="26"/>
      <c r="BJ65" s="30"/>
      <c r="BM65" s="25" t="str">
        <f>VLOOKUP(BN63,【進行】結果入力表!$B$7:$J$78,2,FALSE)</f>
        <v>WRC</v>
      </c>
      <c r="BN65" s="26"/>
      <c r="BO65" s="27"/>
      <c r="BP65" s="28" t="s">
        <v>47</v>
      </c>
      <c r="BQ65" s="29" t="str">
        <f>VLOOKUP(BN63,【進行】結果入力表!$B$7:$J$78,9,FALSE)</f>
        <v>SBC</v>
      </c>
      <c r="BR65" s="26"/>
      <c r="BS65" s="30"/>
    </row>
    <row r="66" spans="2:72" s="51" customFormat="1" ht="46.5" customHeight="1" x14ac:dyDescent="0.15">
      <c r="B66" s="45" t="str">
        <f>VLOOKUP(C63,【進行】結果入力表!$B$7:$J$78,3,FALSE)</f>
        <v>白戸　恭子</v>
      </c>
      <c r="C66" s="46"/>
      <c r="D66" s="47"/>
      <c r="E66" s="48" t="s">
        <v>48</v>
      </c>
      <c r="F66" s="49" t="str">
        <f>VLOOKUP(C63,【進行】結果入力表!$B$7:$J$78,8,FALSE)</f>
        <v>大橋　義治</v>
      </c>
      <c r="G66" s="46"/>
      <c r="H66" s="50"/>
      <c r="K66" s="45" t="str">
        <f>VLOOKUP(L63,【進行】結果入力表!$B$7:$J$78,3,FALSE)</f>
        <v>白戸　玲人</v>
      </c>
      <c r="L66" s="46"/>
      <c r="M66" s="47"/>
      <c r="N66" s="48" t="s">
        <v>48</v>
      </c>
      <c r="O66" s="49" t="str">
        <f>VLOOKUP(L63,【進行】結果入力表!$B$7:$J$78,8,FALSE)</f>
        <v>林　秀忠</v>
      </c>
      <c r="P66" s="46"/>
      <c r="Q66" s="50"/>
      <c r="T66" s="45" t="str">
        <f>VLOOKUP(U63,【進行】結果入力表!$B$7:$J$78,3,FALSE)</f>
        <v>吉向　翔平</v>
      </c>
      <c r="U66" s="46"/>
      <c r="V66" s="47"/>
      <c r="W66" s="48" t="s">
        <v>48</v>
      </c>
      <c r="X66" s="49" t="str">
        <f>VLOOKUP(U63,【進行】結果入力表!$B$7:$J$78,8,FALSE)</f>
        <v>西峰　久祐</v>
      </c>
      <c r="Y66" s="46"/>
      <c r="Z66" s="50"/>
      <c r="AC66" s="45" t="str">
        <f>VLOOKUP(AD63,【進行】結果入力表!$B$7:$J$78,3,FALSE)</f>
        <v>植田　慎也</v>
      </c>
      <c r="AD66" s="46"/>
      <c r="AE66" s="47"/>
      <c r="AF66" s="48" t="s">
        <v>48</v>
      </c>
      <c r="AG66" s="49" t="str">
        <f>VLOOKUP(AD63,【進行】結果入力表!$B$7:$J$78,8,FALSE)</f>
        <v>山中　康裕</v>
      </c>
      <c r="AH66" s="46"/>
      <c r="AI66" s="50"/>
      <c r="AL66" s="45" t="str">
        <f>VLOOKUP(AM63,【進行】結果入力表!$B$7:$J$78,3,FALSE)</f>
        <v>岩本　剛</v>
      </c>
      <c r="AM66" s="46"/>
      <c r="AN66" s="47"/>
      <c r="AO66" s="48" t="s">
        <v>48</v>
      </c>
      <c r="AP66" s="49" t="str">
        <f>VLOOKUP(AM63,【進行】結果入力表!$B$7:$J$78,8,FALSE)</f>
        <v>柳川　哲也</v>
      </c>
      <c r="AQ66" s="46"/>
      <c r="AR66" s="50"/>
      <c r="AU66" s="45" t="str">
        <f>VLOOKUP(AV63,【進行】結果入力表!$B$7:$J$78,3,FALSE)</f>
        <v>斎藤　大輔</v>
      </c>
      <c r="AV66" s="46"/>
      <c r="AW66" s="47"/>
      <c r="AX66" s="48" t="s">
        <v>48</v>
      </c>
      <c r="AY66" s="49" t="str">
        <f>VLOOKUP(AV63,【進行】結果入力表!$B$7:$J$78,8,FALSE)</f>
        <v>大橋　正寛</v>
      </c>
      <c r="AZ66" s="46"/>
      <c r="BA66" s="50"/>
      <c r="BD66" s="45" t="str">
        <f>VLOOKUP(BE63,【進行】結果入力表!$B$7:$J$78,3,FALSE)</f>
        <v>長谷川　進</v>
      </c>
      <c r="BE66" s="46"/>
      <c r="BF66" s="47"/>
      <c r="BG66" s="48" t="s">
        <v>48</v>
      </c>
      <c r="BH66" s="49" t="str">
        <f>VLOOKUP(BE63,【進行】結果入力表!$B$7:$J$78,8,FALSE)</f>
        <v>大橋　洋子</v>
      </c>
      <c r="BI66" s="46"/>
      <c r="BJ66" s="50"/>
      <c r="BM66" s="45" t="str">
        <f>VLOOKUP(BN63,【進行】結果入力表!$B$7:$J$78,3,FALSE)</f>
        <v/>
      </c>
      <c r="BN66" s="46"/>
      <c r="BO66" s="47"/>
      <c r="BP66" s="48" t="s">
        <v>48</v>
      </c>
      <c r="BQ66" s="49" t="str">
        <f>VLOOKUP(BN63,【進行】結果入力表!$B$7:$J$78,8,FALSE)</f>
        <v/>
      </c>
      <c r="BR66" s="46"/>
      <c r="BS66" s="50"/>
    </row>
    <row r="67" spans="2:72" ht="37.5" customHeight="1" x14ac:dyDescent="0.15">
      <c r="B67" s="37"/>
      <c r="C67" s="32"/>
      <c r="D67" s="33"/>
      <c r="E67" s="34" t="s">
        <v>49</v>
      </c>
      <c r="F67" s="38"/>
      <c r="G67" s="32"/>
      <c r="H67" s="36"/>
      <c r="K67" s="37"/>
      <c r="L67" s="32"/>
      <c r="M67" s="33"/>
      <c r="N67" s="34" t="s">
        <v>49</v>
      </c>
      <c r="O67" s="38"/>
      <c r="P67" s="32"/>
      <c r="Q67" s="36"/>
      <c r="T67" s="37"/>
      <c r="U67" s="32"/>
      <c r="V67" s="33"/>
      <c r="W67" s="34" t="s">
        <v>49</v>
      </c>
      <c r="X67" s="38"/>
      <c r="Y67" s="32"/>
      <c r="Z67" s="36"/>
      <c r="AC67" s="37"/>
      <c r="AD67" s="32"/>
      <c r="AE67" s="33"/>
      <c r="AF67" s="34" t="s">
        <v>49</v>
      </c>
      <c r="AG67" s="38"/>
      <c r="AH67" s="32"/>
      <c r="AI67" s="36"/>
      <c r="AL67" s="37"/>
      <c r="AM67" s="32"/>
      <c r="AN67" s="33"/>
      <c r="AO67" s="34" t="s">
        <v>49</v>
      </c>
      <c r="AP67" s="38"/>
      <c r="AQ67" s="32"/>
      <c r="AR67" s="36"/>
      <c r="AU67" s="37"/>
      <c r="AV67" s="32"/>
      <c r="AW67" s="33"/>
      <c r="AX67" s="34" t="s">
        <v>49</v>
      </c>
      <c r="AY67" s="38"/>
      <c r="AZ67" s="32"/>
      <c r="BA67" s="36"/>
      <c r="BD67" s="37"/>
      <c r="BE67" s="32"/>
      <c r="BF67" s="33"/>
      <c r="BG67" s="34" t="s">
        <v>49</v>
      </c>
      <c r="BH67" s="38"/>
      <c r="BI67" s="32"/>
      <c r="BJ67" s="36"/>
      <c r="BM67" s="37"/>
      <c r="BN67" s="32"/>
      <c r="BO67" s="33"/>
      <c r="BP67" s="34" t="s">
        <v>49</v>
      </c>
      <c r="BQ67" s="38"/>
      <c r="BR67" s="32"/>
      <c r="BS67" s="36"/>
    </row>
    <row r="68" spans="2:72" ht="37.5" customHeight="1" thickBot="1" x14ac:dyDescent="0.2">
      <c r="B68" s="39"/>
      <c r="C68" s="40"/>
      <c r="D68" s="41"/>
      <c r="E68" s="42" t="s">
        <v>50</v>
      </c>
      <c r="F68" s="43"/>
      <c r="G68" s="40"/>
      <c r="H68" s="44"/>
      <c r="K68" s="39"/>
      <c r="L68" s="40"/>
      <c r="M68" s="41"/>
      <c r="N68" s="42" t="s">
        <v>50</v>
      </c>
      <c r="O68" s="43"/>
      <c r="P68" s="40"/>
      <c r="Q68" s="44"/>
      <c r="T68" s="39"/>
      <c r="U68" s="40"/>
      <c r="V68" s="41"/>
      <c r="W68" s="42" t="s">
        <v>50</v>
      </c>
      <c r="X68" s="43"/>
      <c r="Y68" s="40"/>
      <c r="Z68" s="44"/>
      <c r="AC68" s="39"/>
      <c r="AD68" s="40"/>
      <c r="AE68" s="41"/>
      <c r="AF68" s="42" t="s">
        <v>50</v>
      </c>
      <c r="AG68" s="43"/>
      <c r="AH68" s="40"/>
      <c r="AI68" s="44"/>
      <c r="AL68" s="39"/>
      <c r="AM68" s="40"/>
      <c r="AN68" s="41"/>
      <c r="AO68" s="42" t="s">
        <v>50</v>
      </c>
      <c r="AP68" s="43"/>
      <c r="AQ68" s="40"/>
      <c r="AR68" s="44"/>
      <c r="AU68" s="39"/>
      <c r="AV68" s="40"/>
      <c r="AW68" s="41"/>
      <c r="AX68" s="42" t="s">
        <v>50</v>
      </c>
      <c r="AY68" s="43"/>
      <c r="AZ68" s="40"/>
      <c r="BA68" s="44"/>
      <c r="BD68" s="39"/>
      <c r="BE68" s="40"/>
      <c r="BF68" s="41"/>
      <c r="BG68" s="42" t="s">
        <v>50</v>
      </c>
      <c r="BH68" s="43"/>
      <c r="BI68" s="40"/>
      <c r="BJ68" s="44"/>
      <c r="BM68" s="39"/>
      <c r="BN68" s="40"/>
      <c r="BO68" s="41"/>
      <c r="BP68" s="42" t="s">
        <v>50</v>
      </c>
      <c r="BQ68" s="43"/>
      <c r="BR68" s="40"/>
      <c r="BS68" s="44"/>
    </row>
    <row r="70" spans="2:72" ht="17.25" x14ac:dyDescent="0.2">
      <c r="D70" s="23"/>
      <c r="E70" s="14" t="s">
        <v>52</v>
      </c>
      <c r="F70" s="52" t="str">
        <f>VLOOKUP(C63,【進行】結果入力表!$B$7:$M$78,11,FALSE)</f>
        <v>WRC</v>
      </c>
      <c r="G70" s="53" t="str">
        <f>VLOOKUP(C63,【進行】結果入力表!$B$7:$M$78,12,FALSE)</f>
        <v>大迫　忠典</v>
      </c>
      <c r="H70" s="23"/>
      <c r="M70" s="23"/>
      <c r="N70" s="14" t="s">
        <v>52</v>
      </c>
      <c r="O70" s="52" t="str">
        <f>VLOOKUP(L63,【進行】結果入力表!$B$7:$M$78,11,FALSE)</f>
        <v>WRC</v>
      </c>
      <c r="P70" s="53" t="str">
        <f>VLOOKUP(L63,【進行】結果入力表!$B$7:$M$78,12,FALSE)</f>
        <v>松房　ゆかり</v>
      </c>
      <c r="Q70" s="23"/>
      <c r="V70" s="23"/>
      <c r="W70" s="14" t="s">
        <v>52</v>
      </c>
      <c r="X70" s="52" t="str">
        <f>VLOOKUP(U63,【進行】結果入力表!$B$7:$M$78,11,FALSE)</f>
        <v>WRC</v>
      </c>
      <c r="Y70" s="53" t="str">
        <f>VLOOKUP(U63,【進行】結果入力表!$B$7:$M$78,12,FALSE)</f>
        <v>森田　憲</v>
      </c>
      <c r="Z70" s="23"/>
      <c r="AE70" s="23"/>
      <c r="AF70" s="14" t="s">
        <v>52</v>
      </c>
      <c r="AG70" s="52" t="str">
        <f>VLOOKUP(AD63,【進行】結果入力表!$B$7:$M$78,11,FALSE)</f>
        <v>WRC</v>
      </c>
      <c r="AH70" s="53" t="str">
        <f>VLOOKUP(AD63,【進行】結果入力表!$B$7:$M$78,12,FALSE)</f>
        <v>和田　宗一郎</v>
      </c>
      <c r="AI70" s="23"/>
      <c r="AN70" s="23"/>
      <c r="AO70" s="14" t="s">
        <v>52</v>
      </c>
      <c r="AP70" s="52" t="str">
        <f>VLOOKUP(AM63,【進行】結果入力表!$B$7:$M$78,11,FALSE)</f>
        <v>WRC</v>
      </c>
      <c r="AQ70" s="53" t="str">
        <f>VLOOKUP(AM63,【進行】結果入力表!$B$7:$M$78,12,FALSE)</f>
        <v>杉本　博章</v>
      </c>
      <c r="AR70" s="23"/>
      <c r="AW70" s="23"/>
      <c r="AX70" s="14" t="s">
        <v>52</v>
      </c>
      <c r="AY70" s="52" t="str">
        <f>VLOOKUP(AV63,【進行】結果入力表!$B$7:$M$78,11,FALSE)</f>
        <v>WRC</v>
      </c>
      <c r="AZ70" s="53" t="str">
        <f>VLOOKUP(AV63,【進行】結果入力表!$B$7:$M$78,12,FALSE)</f>
        <v>末岡　修</v>
      </c>
      <c r="BA70" s="23"/>
      <c r="BF70" s="23"/>
      <c r="BG70" s="14" t="s">
        <v>52</v>
      </c>
      <c r="BH70" s="52" t="str">
        <f>VLOOKUP(BE63,【進行】結果入力表!$B$7:$M$78,11,FALSE)</f>
        <v>WRC</v>
      </c>
      <c r="BI70" s="53" t="str">
        <f>VLOOKUP(BE63,【進行】結果入力表!$B$7:$M$78,12,FALSE)</f>
        <v>中本　雅大</v>
      </c>
      <c r="BJ70" s="23"/>
      <c r="BO70" s="23"/>
      <c r="BP70" s="14" t="s">
        <v>52</v>
      </c>
      <c r="BQ70" s="52" t="str">
        <f>VLOOKUP(BN63,【進行】結果入力表!$B$7:$M$78,11,FALSE)</f>
        <v>NRC</v>
      </c>
      <c r="BR70" s="53" t="str">
        <f>VLOOKUP(BN63,【進行】結果入力表!$B$7:$M$78,12,FALSE)</f>
        <v/>
      </c>
      <c r="BS70" s="23"/>
    </row>
    <row r="71" spans="2:72" ht="15" customHeight="1" x14ac:dyDescent="0.15">
      <c r="B71" s="19" t="str">
        <f>【結果】個人成績表!$A$1</f>
        <v>第17回　和奈滋対抗戦　　　(和歌山；オーシャンドリーム)</v>
      </c>
      <c r="C71" s="20"/>
      <c r="D71" s="20"/>
      <c r="E71" s="20"/>
      <c r="F71" s="20"/>
      <c r="G71" s="20"/>
      <c r="H71" s="21"/>
      <c r="K71" s="19" t="str">
        <f>【結果】個人成績表!$A$1</f>
        <v>第17回　和奈滋対抗戦　　　(和歌山；オーシャンドリーム)</v>
      </c>
      <c r="L71" s="20"/>
      <c r="M71" s="20"/>
      <c r="N71" s="20"/>
      <c r="O71" s="20"/>
      <c r="P71" s="20"/>
      <c r="Q71" s="21"/>
      <c r="T71" s="19" t="str">
        <f>【結果】個人成績表!$A$1</f>
        <v>第17回　和奈滋対抗戦　　　(和歌山；オーシャンドリーム)</v>
      </c>
      <c r="U71" s="20"/>
      <c r="V71" s="20"/>
      <c r="W71" s="20"/>
      <c r="X71" s="20"/>
      <c r="Y71" s="20"/>
      <c r="Z71" s="21"/>
      <c r="AC71" s="19" t="str">
        <f>【結果】個人成績表!$A$1</f>
        <v>第17回　和奈滋対抗戦　　　(和歌山；オーシャンドリーム)</v>
      </c>
      <c r="AD71" s="20"/>
      <c r="AE71" s="20"/>
      <c r="AF71" s="20"/>
      <c r="AG71" s="20"/>
      <c r="AH71" s="20"/>
      <c r="AI71" s="21"/>
      <c r="AL71" s="19" t="str">
        <f>【結果】個人成績表!$A$1</f>
        <v>第17回　和奈滋対抗戦　　　(和歌山；オーシャンドリーム)</v>
      </c>
      <c r="AM71" s="20"/>
      <c r="AN71" s="20"/>
      <c r="AO71" s="20"/>
      <c r="AP71" s="20"/>
      <c r="AQ71" s="20"/>
      <c r="AR71" s="21"/>
      <c r="AU71" s="19" t="str">
        <f>【結果】個人成績表!$A$1</f>
        <v>第17回　和奈滋対抗戦　　　(和歌山；オーシャンドリーム)</v>
      </c>
      <c r="AV71" s="20"/>
      <c r="AW71" s="20"/>
      <c r="AX71" s="20"/>
      <c r="AY71" s="20"/>
      <c r="AZ71" s="20"/>
      <c r="BA71" s="21"/>
      <c r="BD71" s="19" t="str">
        <f>【結果】個人成績表!$A$1</f>
        <v>第17回　和奈滋対抗戦　　　(和歌山；オーシャンドリーム)</v>
      </c>
      <c r="BE71" s="20"/>
      <c r="BF71" s="20"/>
      <c r="BG71" s="20"/>
      <c r="BH71" s="20"/>
      <c r="BI71" s="20"/>
      <c r="BJ71" s="21"/>
      <c r="BM71" s="19" t="str">
        <f>【結果】個人成績表!$A$1</f>
        <v>第17回　和奈滋対抗戦　　　(和歌山；オーシャンドリーム)</v>
      </c>
      <c r="BN71" s="20"/>
      <c r="BO71" s="20"/>
      <c r="BP71" s="20"/>
      <c r="BQ71" s="20"/>
      <c r="BR71" s="20"/>
      <c r="BS71" s="21"/>
      <c r="BT71" t="s">
        <v>43</v>
      </c>
    </row>
    <row r="73" spans="2:72" s="22" customFormat="1" ht="15" customHeight="1" x14ac:dyDescent="0.2">
      <c r="B73" s="23" t="s">
        <v>45</v>
      </c>
      <c r="C73" s="24">
        <f>【進行】結果入力表!B55</f>
        <v>43</v>
      </c>
      <c r="F73" s="23" t="s">
        <v>46</v>
      </c>
      <c r="G73" s="24"/>
      <c r="K73" s="23" t="s">
        <v>45</v>
      </c>
      <c r="L73" s="24">
        <f>【進行】結果入力表!B56</f>
        <v>44</v>
      </c>
      <c r="O73" s="23" t="s">
        <v>46</v>
      </c>
      <c r="P73" s="24"/>
      <c r="T73" s="23" t="s">
        <v>45</v>
      </c>
      <c r="U73" s="24">
        <f>【進行】結果入力表!B57</f>
        <v>45</v>
      </c>
      <c r="X73" s="23" t="s">
        <v>46</v>
      </c>
      <c r="Y73" s="24"/>
      <c r="AC73" s="23" t="s">
        <v>45</v>
      </c>
      <c r="AD73" s="24">
        <f>【進行】結果入力表!B58</f>
        <v>46</v>
      </c>
      <c r="AG73" s="23" t="s">
        <v>46</v>
      </c>
      <c r="AH73" s="24"/>
      <c r="AL73" s="23" t="s">
        <v>45</v>
      </c>
      <c r="AM73" s="24">
        <f>【進行】結果入力表!B59</f>
        <v>47</v>
      </c>
      <c r="AP73" s="23" t="s">
        <v>46</v>
      </c>
      <c r="AQ73" s="24"/>
      <c r="AU73" s="23" t="s">
        <v>45</v>
      </c>
      <c r="AV73" s="24">
        <f>【進行】結果入力表!B60</f>
        <v>48</v>
      </c>
      <c r="AY73" s="23" t="s">
        <v>46</v>
      </c>
      <c r="AZ73" s="24"/>
      <c r="BD73" s="23" t="s">
        <v>45</v>
      </c>
      <c r="BE73" s="24">
        <f>【進行】結果入力表!B61</f>
        <v>49</v>
      </c>
      <c r="BH73" s="23" t="s">
        <v>46</v>
      </c>
      <c r="BI73" s="24"/>
      <c r="BM73" s="23" t="s">
        <v>45</v>
      </c>
      <c r="BN73" s="24" t="str">
        <f>【進行】結果入力表!B62</f>
        <v/>
      </c>
      <c r="BQ73" s="23" t="s">
        <v>46</v>
      </c>
      <c r="BR73" s="24"/>
    </row>
    <row r="75" spans="2:72" ht="31.5" customHeight="1" x14ac:dyDescent="0.15">
      <c r="B75" s="25" t="str">
        <f>VLOOKUP(C73,【進行】結果入力表!$B$7:$J$78,2,FALSE)</f>
        <v>WRC</v>
      </c>
      <c r="C75" s="26"/>
      <c r="D75" s="27"/>
      <c r="E75" s="28" t="s">
        <v>47</v>
      </c>
      <c r="F75" s="29" t="str">
        <f>VLOOKUP(C73,【進行】結果入力表!$B$7:$J$78,9,FALSE)</f>
        <v>SBC</v>
      </c>
      <c r="G75" s="26"/>
      <c r="H75" s="30"/>
      <c r="K75" s="25" t="str">
        <f>VLOOKUP(L73,【進行】結果入力表!$B$7:$J$78,2,FALSE)</f>
        <v>WRC</v>
      </c>
      <c r="L75" s="26"/>
      <c r="M75" s="27"/>
      <c r="N75" s="28" t="s">
        <v>47</v>
      </c>
      <c r="O75" s="29" t="str">
        <f>VLOOKUP(L73,【進行】結果入力表!$B$7:$J$78,9,FALSE)</f>
        <v>SBC</v>
      </c>
      <c r="P75" s="26"/>
      <c r="Q75" s="30"/>
      <c r="T75" s="25" t="str">
        <f>VLOOKUP(U73,【進行】結果入力表!$B$7:$J$78,2,FALSE)</f>
        <v>WRC</v>
      </c>
      <c r="U75" s="26"/>
      <c r="V75" s="27"/>
      <c r="W75" s="28" t="s">
        <v>47</v>
      </c>
      <c r="X75" s="29" t="str">
        <f>VLOOKUP(U73,【進行】結果入力表!$B$7:$J$78,9,FALSE)</f>
        <v>SBC</v>
      </c>
      <c r="Y75" s="26"/>
      <c r="Z75" s="30"/>
      <c r="AC75" s="25" t="str">
        <f>VLOOKUP(AD73,【進行】結果入力表!$B$7:$J$78,2,FALSE)</f>
        <v>WRC</v>
      </c>
      <c r="AD75" s="26"/>
      <c r="AE75" s="27"/>
      <c r="AF75" s="28" t="s">
        <v>47</v>
      </c>
      <c r="AG75" s="29" t="str">
        <f>VLOOKUP(AD73,【進行】結果入力表!$B$7:$J$78,9,FALSE)</f>
        <v>SBC</v>
      </c>
      <c r="AH75" s="26"/>
      <c r="AI75" s="30"/>
      <c r="AL75" s="25" t="str">
        <f>VLOOKUP(AM73,【進行】結果入力表!$B$7:$J$78,2,FALSE)</f>
        <v>WRC</v>
      </c>
      <c r="AM75" s="26"/>
      <c r="AN75" s="27"/>
      <c r="AO75" s="28" t="s">
        <v>47</v>
      </c>
      <c r="AP75" s="29" t="str">
        <f>VLOOKUP(AM73,【進行】結果入力表!$B$7:$J$78,9,FALSE)</f>
        <v>SBC</v>
      </c>
      <c r="AQ75" s="26"/>
      <c r="AR75" s="30"/>
      <c r="AU75" s="25" t="str">
        <f>VLOOKUP(AV73,【進行】結果入力表!$B$7:$J$78,2,FALSE)</f>
        <v>WRC</v>
      </c>
      <c r="AV75" s="26"/>
      <c r="AW75" s="27"/>
      <c r="AX75" s="28" t="s">
        <v>47</v>
      </c>
      <c r="AY75" s="29" t="str">
        <f>VLOOKUP(AV73,【進行】結果入力表!$B$7:$J$78,9,FALSE)</f>
        <v>SBC</v>
      </c>
      <c r="AZ75" s="26"/>
      <c r="BA75" s="30"/>
      <c r="BD75" s="25" t="str">
        <f>VLOOKUP(BE73,【進行】結果入力表!$B$7:$J$78,2,FALSE)</f>
        <v>WRC</v>
      </c>
      <c r="BE75" s="26"/>
      <c r="BF75" s="27"/>
      <c r="BG75" s="28" t="s">
        <v>47</v>
      </c>
      <c r="BH75" s="29" t="str">
        <f>VLOOKUP(BE73,【進行】結果入力表!$B$7:$J$78,9,FALSE)</f>
        <v>SBC</v>
      </c>
      <c r="BI75" s="26"/>
      <c r="BJ75" s="30"/>
      <c r="BM75" s="25" t="str">
        <f>VLOOKUP(BN73,【進行】結果入力表!$B$7:$J$78,2,FALSE)</f>
        <v>WRC</v>
      </c>
      <c r="BN75" s="26"/>
      <c r="BO75" s="27"/>
      <c r="BP75" s="28" t="s">
        <v>47</v>
      </c>
      <c r="BQ75" s="29" t="str">
        <f>VLOOKUP(BN73,【進行】結果入力表!$B$7:$J$78,9,FALSE)</f>
        <v>SBC</v>
      </c>
      <c r="BR75" s="26"/>
      <c r="BS75" s="30"/>
    </row>
    <row r="76" spans="2:72" s="51" customFormat="1" ht="46.5" customHeight="1" x14ac:dyDescent="0.15">
      <c r="B76" s="45" t="str">
        <f>VLOOKUP(C73,【進行】結果入力表!$B$7:$J$78,3,FALSE)</f>
        <v>末岡　修</v>
      </c>
      <c r="C76" s="46"/>
      <c r="D76" s="47"/>
      <c r="E76" s="48" t="s">
        <v>48</v>
      </c>
      <c r="F76" s="49" t="str">
        <f>VLOOKUP(C73,【進行】結果入力表!$B$7:$J$78,8,FALSE)</f>
        <v>大橋　義治</v>
      </c>
      <c r="G76" s="46"/>
      <c r="H76" s="50"/>
      <c r="K76" s="45" t="str">
        <f>VLOOKUP(L73,【進行】結果入力表!$B$7:$J$78,3,FALSE)</f>
        <v>中本　雅大</v>
      </c>
      <c r="L76" s="46"/>
      <c r="M76" s="47"/>
      <c r="N76" s="48" t="s">
        <v>48</v>
      </c>
      <c r="O76" s="49" t="str">
        <f>VLOOKUP(L73,【進行】結果入力表!$B$7:$J$78,8,FALSE)</f>
        <v>林　秀忠</v>
      </c>
      <c r="P76" s="46"/>
      <c r="Q76" s="50"/>
      <c r="T76" s="45" t="str">
        <f>VLOOKUP(U73,【進行】結果入力表!$B$7:$J$78,3,FALSE)</f>
        <v>大迫　忠典</v>
      </c>
      <c r="U76" s="46"/>
      <c r="V76" s="47"/>
      <c r="W76" s="48" t="s">
        <v>48</v>
      </c>
      <c r="X76" s="49" t="str">
        <f>VLOOKUP(U73,【進行】結果入力表!$B$7:$J$78,8,FALSE)</f>
        <v>西峰　久祐</v>
      </c>
      <c r="Y76" s="46"/>
      <c r="Z76" s="50"/>
      <c r="AC76" s="45" t="str">
        <f>VLOOKUP(AD73,【進行】結果入力表!$B$7:$J$78,3,FALSE)</f>
        <v>松房　ゆかり</v>
      </c>
      <c r="AD76" s="46"/>
      <c r="AE76" s="47"/>
      <c r="AF76" s="48" t="s">
        <v>48</v>
      </c>
      <c r="AG76" s="49" t="str">
        <f>VLOOKUP(AD73,【進行】結果入力表!$B$7:$J$78,8,FALSE)</f>
        <v>山中　康裕</v>
      </c>
      <c r="AH76" s="46"/>
      <c r="AI76" s="50"/>
      <c r="AL76" s="45" t="str">
        <f>VLOOKUP(AM73,【進行】結果入力表!$B$7:$J$78,3,FALSE)</f>
        <v>森田　憲</v>
      </c>
      <c r="AM76" s="46"/>
      <c r="AN76" s="47"/>
      <c r="AO76" s="48" t="s">
        <v>48</v>
      </c>
      <c r="AP76" s="49" t="str">
        <f>VLOOKUP(AM73,【進行】結果入力表!$B$7:$J$78,8,FALSE)</f>
        <v>柳川　哲也</v>
      </c>
      <c r="AQ76" s="46"/>
      <c r="AR76" s="50"/>
      <c r="AU76" s="45" t="str">
        <f>VLOOKUP(AV73,【進行】結果入力表!$B$7:$J$78,3,FALSE)</f>
        <v>和田　宗一郎</v>
      </c>
      <c r="AV76" s="46"/>
      <c r="AW76" s="47"/>
      <c r="AX76" s="48" t="s">
        <v>48</v>
      </c>
      <c r="AY76" s="49" t="str">
        <f>VLOOKUP(AV73,【進行】結果入力表!$B$7:$J$78,8,FALSE)</f>
        <v>大橋　正寛</v>
      </c>
      <c r="AZ76" s="46"/>
      <c r="BA76" s="50"/>
      <c r="BD76" s="45" t="str">
        <f>VLOOKUP(BE73,【進行】結果入力表!$B$7:$J$78,3,FALSE)</f>
        <v>杉本　博章</v>
      </c>
      <c r="BE76" s="46"/>
      <c r="BF76" s="47"/>
      <c r="BG76" s="48" t="s">
        <v>48</v>
      </c>
      <c r="BH76" s="49" t="str">
        <f>VLOOKUP(BE73,【進行】結果入力表!$B$7:$J$78,8,FALSE)</f>
        <v>大橋　洋子</v>
      </c>
      <c r="BI76" s="46"/>
      <c r="BJ76" s="50"/>
      <c r="BM76" s="45" t="str">
        <f>VLOOKUP(BN73,【進行】結果入力表!$B$7:$J$78,3,FALSE)</f>
        <v/>
      </c>
      <c r="BN76" s="46"/>
      <c r="BO76" s="47"/>
      <c r="BP76" s="48" t="s">
        <v>48</v>
      </c>
      <c r="BQ76" s="49" t="str">
        <f>VLOOKUP(BN73,【進行】結果入力表!$B$7:$J$78,8,FALSE)</f>
        <v/>
      </c>
      <c r="BR76" s="46"/>
      <c r="BS76" s="50"/>
    </row>
    <row r="77" spans="2:72" ht="37.5" customHeight="1" x14ac:dyDescent="0.15">
      <c r="B77" s="37"/>
      <c r="C77" s="32"/>
      <c r="D77" s="33"/>
      <c r="E77" s="34" t="s">
        <v>49</v>
      </c>
      <c r="F77" s="38"/>
      <c r="G77" s="32"/>
      <c r="H77" s="36"/>
      <c r="K77" s="37"/>
      <c r="L77" s="32"/>
      <c r="M77" s="33"/>
      <c r="N77" s="34" t="s">
        <v>49</v>
      </c>
      <c r="O77" s="38"/>
      <c r="P77" s="32"/>
      <c r="Q77" s="36"/>
      <c r="T77" s="37"/>
      <c r="U77" s="32"/>
      <c r="V77" s="33"/>
      <c r="W77" s="34" t="s">
        <v>49</v>
      </c>
      <c r="X77" s="38"/>
      <c r="Y77" s="32"/>
      <c r="Z77" s="36"/>
      <c r="AC77" s="37"/>
      <c r="AD77" s="32"/>
      <c r="AE77" s="33"/>
      <c r="AF77" s="34" t="s">
        <v>49</v>
      </c>
      <c r="AG77" s="38"/>
      <c r="AH77" s="32"/>
      <c r="AI77" s="36"/>
      <c r="AL77" s="37"/>
      <c r="AM77" s="32"/>
      <c r="AN77" s="33"/>
      <c r="AO77" s="34" t="s">
        <v>49</v>
      </c>
      <c r="AP77" s="38"/>
      <c r="AQ77" s="32"/>
      <c r="AR77" s="36"/>
      <c r="AU77" s="37"/>
      <c r="AV77" s="32"/>
      <c r="AW77" s="33"/>
      <c r="AX77" s="34" t="s">
        <v>49</v>
      </c>
      <c r="AY77" s="38"/>
      <c r="AZ77" s="32"/>
      <c r="BA77" s="36"/>
      <c r="BD77" s="37"/>
      <c r="BE77" s="32"/>
      <c r="BF77" s="33"/>
      <c r="BG77" s="34" t="s">
        <v>49</v>
      </c>
      <c r="BH77" s="38"/>
      <c r="BI77" s="32"/>
      <c r="BJ77" s="36"/>
      <c r="BM77" s="37"/>
      <c r="BN77" s="32"/>
      <c r="BO77" s="33"/>
      <c r="BP77" s="34" t="s">
        <v>49</v>
      </c>
      <c r="BQ77" s="38"/>
      <c r="BR77" s="32"/>
      <c r="BS77" s="36"/>
    </row>
    <row r="78" spans="2:72" ht="37.5" customHeight="1" thickBot="1" x14ac:dyDescent="0.2">
      <c r="B78" s="39"/>
      <c r="C78" s="40"/>
      <c r="D78" s="41"/>
      <c r="E78" s="42" t="s">
        <v>50</v>
      </c>
      <c r="F78" s="43"/>
      <c r="G78" s="40"/>
      <c r="H78" s="44"/>
      <c r="K78" s="39"/>
      <c r="L78" s="40"/>
      <c r="M78" s="41"/>
      <c r="N78" s="42" t="s">
        <v>50</v>
      </c>
      <c r="O78" s="43"/>
      <c r="P78" s="40"/>
      <c r="Q78" s="44"/>
      <c r="T78" s="39"/>
      <c r="U78" s="40"/>
      <c r="V78" s="41"/>
      <c r="W78" s="42" t="s">
        <v>50</v>
      </c>
      <c r="X78" s="43"/>
      <c r="Y78" s="40"/>
      <c r="Z78" s="44"/>
      <c r="AC78" s="39"/>
      <c r="AD78" s="40"/>
      <c r="AE78" s="41"/>
      <c r="AF78" s="42" t="s">
        <v>50</v>
      </c>
      <c r="AG78" s="43"/>
      <c r="AH78" s="40"/>
      <c r="AI78" s="44"/>
      <c r="AL78" s="39"/>
      <c r="AM78" s="40"/>
      <c r="AN78" s="41"/>
      <c r="AO78" s="42" t="s">
        <v>50</v>
      </c>
      <c r="AP78" s="43"/>
      <c r="AQ78" s="40"/>
      <c r="AR78" s="44"/>
      <c r="AU78" s="39"/>
      <c r="AV78" s="40"/>
      <c r="AW78" s="41"/>
      <c r="AX78" s="42" t="s">
        <v>50</v>
      </c>
      <c r="AY78" s="43"/>
      <c r="AZ78" s="40"/>
      <c r="BA78" s="44"/>
      <c r="BD78" s="39"/>
      <c r="BE78" s="40"/>
      <c r="BF78" s="41"/>
      <c r="BG78" s="42" t="s">
        <v>50</v>
      </c>
      <c r="BH78" s="43"/>
      <c r="BI78" s="40"/>
      <c r="BJ78" s="44"/>
      <c r="BM78" s="39"/>
      <c r="BN78" s="40"/>
      <c r="BO78" s="41"/>
      <c r="BP78" s="42" t="s">
        <v>50</v>
      </c>
      <c r="BQ78" s="43"/>
      <c r="BR78" s="40"/>
      <c r="BS78" s="44"/>
    </row>
    <row r="80" spans="2:72" ht="17.25" x14ac:dyDescent="0.2">
      <c r="D80" s="23"/>
      <c r="E80" s="14" t="s">
        <v>52</v>
      </c>
      <c r="F80" s="52" t="str">
        <f>VLOOKUP(C73,【進行】結果入力表!$B$7:$M$78,11,FALSE)</f>
        <v>NRC</v>
      </c>
      <c r="G80" s="53" t="str">
        <f>VLOOKUP(C73,【進行】結果入力表!$B$7:$M$78,12,FALSE)</f>
        <v>長谷川　進</v>
      </c>
      <c r="H80" s="23"/>
      <c r="M80" s="23"/>
      <c r="N80" s="14" t="s">
        <v>52</v>
      </c>
      <c r="O80" s="52" t="str">
        <f>VLOOKUP(L73,【進行】結果入力表!$B$7:$M$78,11,FALSE)</f>
        <v>NRC</v>
      </c>
      <c r="P80" s="53" t="str">
        <f>VLOOKUP(L73,【進行】結果入力表!$B$7:$M$78,12,FALSE)</f>
        <v>白戸　恭子</v>
      </c>
      <c r="Q80" s="23"/>
      <c r="V80" s="23"/>
      <c r="W80" s="14" t="s">
        <v>52</v>
      </c>
      <c r="X80" s="52" t="str">
        <f>VLOOKUP(U73,【進行】結果入力表!$B$7:$M$78,11,FALSE)</f>
        <v>NRC</v>
      </c>
      <c r="Y80" s="53" t="str">
        <f>VLOOKUP(U73,【進行】結果入力表!$B$7:$M$78,12,FALSE)</f>
        <v>白戸　玲人</v>
      </c>
      <c r="Z80" s="23"/>
      <c r="AE80" s="23"/>
      <c r="AF80" s="14" t="s">
        <v>52</v>
      </c>
      <c r="AG80" s="52" t="str">
        <f>VLOOKUP(AD73,【進行】結果入力表!$B$7:$M$78,11,FALSE)</f>
        <v>NRC</v>
      </c>
      <c r="AH80" s="53" t="str">
        <f>VLOOKUP(AD73,【進行】結果入力表!$B$7:$M$78,12,FALSE)</f>
        <v>吉向　翔平</v>
      </c>
      <c r="AI80" s="23"/>
      <c r="AN80" s="23"/>
      <c r="AO80" s="14" t="s">
        <v>52</v>
      </c>
      <c r="AP80" s="52" t="str">
        <f>VLOOKUP(AM73,【進行】結果入力表!$B$7:$M$78,11,FALSE)</f>
        <v>NRC</v>
      </c>
      <c r="AQ80" s="53" t="str">
        <f>VLOOKUP(AM73,【進行】結果入力表!$B$7:$M$78,12,FALSE)</f>
        <v>植田　慎也</v>
      </c>
      <c r="AR80" s="23"/>
      <c r="AW80" s="23"/>
      <c r="AX80" s="14" t="s">
        <v>52</v>
      </c>
      <c r="AY80" s="52" t="str">
        <f>VLOOKUP(AV73,【進行】結果入力表!$B$7:$M$78,11,FALSE)</f>
        <v>NRC</v>
      </c>
      <c r="AZ80" s="53" t="str">
        <f>VLOOKUP(AV73,【進行】結果入力表!$B$7:$M$78,12,FALSE)</f>
        <v>岩本　剛</v>
      </c>
      <c r="BA80" s="23"/>
      <c r="BF80" s="23"/>
      <c r="BG80" s="14" t="s">
        <v>52</v>
      </c>
      <c r="BH80" s="52" t="str">
        <f>VLOOKUP(BE73,【進行】結果入力表!$B$7:$M$78,11,FALSE)</f>
        <v>NRC</v>
      </c>
      <c r="BI80" s="53" t="str">
        <f>VLOOKUP(BE73,【進行】結果入力表!$B$7:$M$78,12,FALSE)</f>
        <v>斎藤　大輔</v>
      </c>
      <c r="BJ80" s="23"/>
      <c r="BO80" s="23"/>
      <c r="BP80" s="14" t="s">
        <v>52</v>
      </c>
      <c r="BQ80" s="52" t="str">
        <f>VLOOKUP(BN73,【進行】結果入力表!$B$7:$M$78,11,FALSE)</f>
        <v>NRC</v>
      </c>
      <c r="BR80" s="53" t="str">
        <f>VLOOKUP(BN73,【進行】結果入力表!$B$7:$M$78,12,FALSE)</f>
        <v/>
      </c>
      <c r="BS80" s="23"/>
    </row>
    <row r="81" spans="2:72" ht="15" customHeight="1" x14ac:dyDescent="0.15">
      <c r="B81" s="19" t="str">
        <f>【結果】個人成績表!$A$1</f>
        <v>第17回　和奈滋対抗戦　　　(和歌山；オーシャンドリーム)</v>
      </c>
      <c r="C81" s="20"/>
      <c r="D81" s="20"/>
      <c r="E81" s="20"/>
      <c r="F81" s="20"/>
      <c r="G81" s="20"/>
      <c r="H81" s="21"/>
      <c r="K81" s="19" t="str">
        <f>【結果】個人成績表!$A$1</f>
        <v>第17回　和奈滋対抗戦　　　(和歌山；オーシャンドリーム)</v>
      </c>
      <c r="L81" s="20"/>
      <c r="M81" s="20"/>
      <c r="N81" s="20"/>
      <c r="O81" s="20"/>
      <c r="P81" s="20"/>
      <c r="Q81" s="21"/>
      <c r="T81" s="19" t="str">
        <f>【結果】個人成績表!$A$1</f>
        <v>第17回　和奈滋対抗戦　　　(和歌山；オーシャンドリーム)</v>
      </c>
      <c r="U81" s="20"/>
      <c r="V81" s="20"/>
      <c r="W81" s="20"/>
      <c r="X81" s="20"/>
      <c r="Y81" s="20"/>
      <c r="Z81" s="21"/>
      <c r="AC81" s="19" t="str">
        <f>【結果】個人成績表!$A$1</f>
        <v>第17回　和奈滋対抗戦　　　(和歌山；オーシャンドリーム)</v>
      </c>
      <c r="AD81" s="20"/>
      <c r="AE81" s="20"/>
      <c r="AF81" s="20"/>
      <c r="AG81" s="20"/>
      <c r="AH81" s="20"/>
      <c r="AI81" s="21"/>
      <c r="AL81" s="19" t="str">
        <f>【結果】個人成績表!$A$1</f>
        <v>第17回　和奈滋対抗戦　　　(和歌山；オーシャンドリーム)</v>
      </c>
      <c r="AM81" s="20"/>
      <c r="AN81" s="20"/>
      <c r="AO81" s="20"/>
      <c r="AP81" s="20"/>
      <c r="AQ81" s="20"/>
      <c r="AR81" s="21"/>
      <c r="AU81" s="19" t="str">
        <f>【結果】個人成績表!$A$1</f>
        <v>第17回　和奈滋対抗戦　　　(和歌山；オーシャンドリーム)</v>
      </c>
      <c r="AV81" s="20"/>
      <c r="AW81" s="20"/>
      <c r="AX81" s="20"/>
      <c r="AY81" s="20"/>
      <c r="AZ81" s="20"/>
      <c r="BA81" s="21"/>
      <c r="BD81" s="19" t="str">
        <f>【結果】個人成績表!$A$1</f>
        <v>第17回　和奈滋対抗戦　　　(和歌山；オーシャンドリーム)</v>
      </c>
      <c r="BE81" s="20"/>
      <c r="BF81" s="20"/>
      <c r="BG81" s="20"/>
      <c r="BH81" s="20"/>
      <c r="BI81" s="20"/>
      <c r="BJ81" s="21"/>
      <c r="BM81" s="19" t="str">
        <f>【結果】個人成績表!$A$1</f>
        <v>第17回　和奈滋対抗戦　　　(和歌山；オーシャンドリーム)</v>
      </c>
      <c r="BN81" s="20"/>
      <c r="BO81" s="20"/>
      <c r="BP81" s="20"/>
      <c r="BQ81" s="20"/>
      <c r="BR81" s="20"/>
      <c r="BS81" s="21"/>
      <c r="BT81" t="s">
        <v>43</v>
      </c>
    </row>
    <row r="83" spans="2:72" s="22" customFormat="1" ht="15" customHeight="1" x14ac:dyDescent="0.2">
      <c r="B83" s="23" t="s">
        <v>45</v>
      </c>
      <c r="C83" s="24">
        <f>【進行】結果入力表!B63</f>
        <v>50</v>
      </c>
      <c r="F83" s="23" t="s">
        <v>46</v>
      </c>
      <c r="G83" s="24"/>
      <c r="K83" s="23" t="s">
        <v>45</v>
      </c>
      <c r="L83" s="24">
        <f>【進行】結果入力表!B64</f>
        <v>51</v>
      </c>
      <c r="O83" s="23" t="s">
        <v>46</v>
      </c>
      <c r="P83" s="24"/>
      <c r="T83" s="23" t="s">
        <v>45</v>
      </c>
      <c r="U83" s="24">
        <f>【進行】結果入力表!B65</f>
        <v>52</v>
      </c>
      <c r="X83" s="23" t="s">
        <v>46</v>
      </c>
      <c r="Y83" s="24"/>
      <c r="AC83" s="23" t="s">
        <v>45</v>
      </c>
      <c r="AD83" s="24">
        <f>【進行】結果入力表!B66</f>
        <v>53</v>
      </c>
      <c r="AG83" s="23" t="s">
        <v>46</v>
      </c>
      <c r="AH83" s="24"/>
      <c r="AL83" s="23" t="s">
        <v>45</v>
      </c>
      <c r="AM83" s="24">
        <f>【進行】結果入力表!B67</f>
        <v>54</v>
      </c>
      <c r="AP83" s="23" t="s">
        <v>46</v>
      </c>
      <c r="AQ83" s="24"/>
      <c r="AU83" s="23" t="s">
        <v>45</v>
      </c>
      <c r="AV83" s="24">
        <f>【進行】結果入力表!B68</f>
        <v>55</v>
      </c>
      <c r="AY83" s="23" t="s">
        <v>46</v>
      </c>
      <c r="AZ83" s="24"/>
      <c r="BD83" s="23" t="s">
        <v>45</v>
      </c>
      <c r="BE83" s="24">
        <f>【進行】結果入力表!B69</f>
        <v>56</v>
      </c>
      <c r="BH83" s="23" t="s">
        <v>46</v>
      </c>
      <c r="BI83" s="24"/>
      <c r="BM83" s="23" t="s">
        <v>45</v>
      </c>
      <c r="BN83" s="24" t="str">
        <f>【進行】結果入力表!B70</f>
        <v/>
      </c>
      <c r="BQ83" s="23" t="s">
        <v>46</v>
      </c>
      <c r="BR83" s="24"/>
    </row>
    <row r="85" spans="2:72" ht="31.5" customHeight="1" x14ac:dyDescent="0.15">
      <c r="B85" s="25" t="str">
        <f>VLOOKUP(C83,【進行】結果入力表!$B$7:$J$78,2,FALSE)</f>
        <v>WRC</v>
      </c>
      <c r="C85" s="26"/>
      <c r="D85" s="27"/>
      <c r="E85" s="28" t="s">
        <v>47</v>
      </c>
      <c r="F85" s="29" t="str">
        <f>VLOOKUP(C83,【進行】結果入力表!$B$7:$J$78,9,FALSE)</f>
        <v>NRC</v>
      </c>
      <c r="G85" s="26"/>
      <c r="H85" s="30"/>
      <c r="K85" s="25" t="str">
        <f>VLOOKUP(L83,【進行】結果入力表!$B$7:$J$78,2,FALSE)</f>
        <v>WRC</v>
      </c>
      <c r="L85" s="26"/>
      <c r="M85" s="27"/>
      <c r="N85" s="28" t="s">
        <v>47</v>
      </c>
      <c r="O85" s="29" t="str">
        <f>VLOOKUP(L83,【進行】結果入力表!$B$7:$J$78,9,FALSE)</f>
        <v>NRC</v>
      </c>
      <c r="P85" s="26"/>
      <c r="Q85" s="30"/>
      <c r="T85" s="25" t="str">
        <f>VLOOKUP(U83,【進行】結果入力表!$B$7:$J$78,2,FALSE)</f>
        <v>WRC</v>
      </c>
      <c r="U85" s="26"/>
      <c r="V85" s="27"/>
      <c r="W85" s="28" t="s">
        <v>47</v>
      </c>
      <c r="X85" s="29" t="str">
        <f>VLOOKUP(U83,【進行】結果入力表!$B$7:$J$78,9,FALSE)</f>
        <v>NRC</v>
      </c>
      <c r="Y85" s="26"/>
      <c r="Z85" s="30"/>
      <c r="AC85" s="25" t="str">
        <f>VLOOKUP(AD83,【進行】結果入力表!$B$7:$J$78,2,FALSE)</f>
        <v>WRC</v>
      </c>
      <c r="AD85" s="26"/>
      <c r="AE85" s="27"/>
      <c r="AF85" s="28" t="s">
        <v>47</v>
      </c>
      <c r="AG85" s="29" t="str">
        <f>VLOOKUP(AD83,【進行】結果入力表!$B$7:$J$78,9,FALSE)</f>
        <v>NRC</v>
      </c>
      <c r="AH85" s="26"/>
      <c r="AI85" s="30"/>
      <c r="AL85" s="25" t="str">
        <f>VLOOKUP(AM83,【進行】結果入力表!$B$7:$J$78,2,FALSE)</f>
        <v>WRC</v>
      </c>
      <c r="AM85" s="26"/>
      <c r="AN85" s="27"/>
      <c r="AO85" s="28" t="s">
        <v>47</v>
      </c>
      <c r="AP85" s="29" t="str">
        <f>VLOOKUP(AM83,【進行】結果入力表!$B$7:$J$78,9,FALSE)</f>
        <v>NRC</v>
      </c>
      <c r="AQ85" s="26"/>
      <c r="AR85" s="30"/>
      <c r="AU85" s="25" t="str">
        <f>VLOOKUP(AV83,【進行】結果入力表!$B$7:$J$78,2,FALSE)</f>
        <v>WRC</v>
      </c>
      <c r="AV85" s="26"/>
      <c r="AW85" s="27"/>
      <c r="AX85" s="28" t="s">
        <v>47</v>
      </c>
      <c r="AY85" s="29" t="str">
        <f>VLOOKUP(AV83,【進行】結果入力表!$B$7:$J$78,9,FALSE)</f>
        <v>NRC</v>
      </c>
      <c r="AZ85" s="26"/>
      <c r="BA85" s="30"/>
      <c r="BD85" s="25" t="str">
        <f>VLOOKUP(BE83,【進行】結果入力表!$B$7:$J$78,2,FALSE)</f>
        <v>WRC</v>
      </c>
      <c r="BE85" s="26"/>
      <c r="BF85" s="27"/>
      <c r="BG85" s="28" t="s">
        <v>47</v>
      </c>
      <c r="BH85" s="29" t="str">
        <f>VLOOKUP(BE83,【進行】結果入力表!$B$7:$J$78,9,FALSE)</f>
        <v>NRC</v>
      </c>
      <c r="BI85" s="26"/>
      <c r="BJ85" s="30"/>
      <c r="BM85" s="25" t="str">
        <f>VLOOKUP(BN83,【進行】結果入力表!$B$7:$J$78,2,FALSE)</f>
        <v>WRC</v>
      </c>
      <c r="BN85" s="26"/>
      <c r="BO85" s="27"/>
      <c r="BP85" s="28" t="s">
        <v>47</v>
      </c>
      <c r="BQ85" s="29" t="str">
        <f>VLOOKUP(BN83,【進行】結果入力表!$B$7:$J$78,9,FALSE)</f>
        <v>SBC</v>
      </c>
      <c r="BR85" s="26"/>
      <c r="BS85" s="30"/>
    </row>
    <row r="86" spans="2:72" s="51" customFormat="1" ht="46.5" customHeight="1" x14ac:dyDescent="0.15">
      <c r="B86" s="45" t="str">
        <f>VLOOKUP(C83,【進行】結果入力表!$B$7:$J$78,3,FALSE)</f>
        <v>末岡　修</v>
      </c>
      <c r="C86" s="46"/>
      <c r="D86" s="47"/>
      <c r="E86" s="48" t="s">
        <v>48</v>
      </c>
      <c r="F86" s="49" t="str">
        <f>VLOOKUP(C83,【進行】結果入力表!$B$7:$J$78,8,FALSE)</f>
        <v>長谷川　進</v>
      </c>
      <c r="G86" s="46"/>
      <c r="H86" s="50"/>
      <c r="K86" s="45" t="str">
        <f>VLOOKUP(L83,【進行】結果入力表!$B$7:$J$78,3,FALSE)</f>
        <v>中本　雅大</v>
      </c>
      <c r="L86" s="46"/>
      <c r="M86" s="47"/>
      <c r="N86" s="48" t="s">
        <v>48</v>
      </c>
      <c r="O86" s="49" t="str">
        <f>VLOOKUP(L83,【進行】結果入力表!$B$7:$J$78,8,FALSE)</f>
        <v>白戸　恭子</v>
      </c>
      <c r="P86" s="46"/>
      <c r="Q86" s="50"/>
      <c r="T86" s="45" t="str">
        <f>VLOOKUP(U83,【進行】結果入力表!$B$7:$J$78,3,FALSE)</f>
        <v>大迫　忠典</v>
      </c>
      <c r="U86" s="46"/>
      <c r="V86" s="47"/>
      <c r="W86" s="48" t="s">
        <v>48</v>
      </c>
      <c r="X86" s="49" t="str">
        <f>VLOOKUP(U83,【進行】結果入力表!$B$7:$J$78,8,FALSE)</f>
        <v>白戸　玲人</v>
      </c>
      <c r="Y86" s="46"/>
      <c r="Z86" s="50"/>
      <c r="AC86" s="45" t="str">
        <f>VLOOKUP(AD83,【進行】結果入力表!$B$7:$J$78,3,FALSE)</f>
        <v>松房　ゆかり</v>
      </c>
      <c r="AD86" s="46"/>
      <c r="AE86" s="47"/>
      <c r="AF86" s="48" t="s">
        <v>48</v>
      </c>
      <c r="AG86" s="49" t="str">
        <f>VLOOKUP(AD83,【進行】結果入力表!$B$7:$J$78,8,FALSE)</f>
        <v>吉向　翔平</v>
      </c>
      <c r="AH86" s="46"/>
      <c r="AI86" s="50"/>
      <c r="AL86" s="45" t="str">
        <f>VLOOKUP(AM83,【進行】結果入力表!$B$7:$J$78,3,FALSE)</f>
        <v>森田　憲</v>
      </c>
      <c r="AM86" s="46"/>
      <c r="AN86" s="47"/>
      <c r="AO86" s="48" t="s">
        <v>48</v>
      </c>
      <c r="AP86" s="49" t="str">
        <f>VLOOKUP(AM83,【進行】結果入力表!$B$7:$J$78,8,FALSE)</f>
        <v>植田　慎也</v>
      </c>
      <c r="AQ86" s="46"/>
      <c r="AR86" s="50"/>
      <c r="AU86" s="45" t="str">
        <f>VLOOKUP(AV83,【進行】結果入力表!$B$7:$J$78,3,FALSE)</f>
        <v>和田　宗一郎</v>
      </c>
      <c r="AV86" s="46"/>
      <c r="AW86" s="47"/>
      <c r="AX86" s="48" t="s">
        <v>48</v>
      </c>
      <c r="AY86" s="49" t="str">
        <f>VLOOKUP(AV83,【進行】結果入力表!$B$7:$J$78,8,FALSE)</f>
        <v>岩本　剛</v>
      </c>
      <c r="AZ86" s="46"/>
      <c r="BA86" s="50"/>
      <c r="BD86" s="45" t="str">
        <f>VLOOKUP(BE83,【進行】結果入力表!$B$7:$J$78,3,FALSE)</f>
        <v>杉本　博章</v>
      </c>
      <c r="BE86" s="46"/>
      <c r="BF86" s="47"/>
      <c r="BG86" s="48" t="s">
        <v>48</v>
      </c>
      <c r="BH86" s="49" t="str">
        <f>VLOOKUP(BE83,【進行】結果入力表!$B$7:$J$78,8,FALSE)</f>
        <v>斎藤　大輔</v>
      </c>
      <c r="BI86" s="46"/>
      <c r="BJ86" s="50"/>
      <c r="BM86" s="45" t="str">
        <f>VLOOKUP(BN83,【進行】結果入力表!$B$7:$J$78,3,FALSE)</f>
        <v/>
      </c>
      <c r="BN86" s="46"/>
      <c r="BO86" s="47"/>
      <c r="BP86" s="48" t="s">
        <v>48</v>
      </c>
      <c r="BQ86" s="49" t="str">
        <f>VLOOKUP(BN83,【進行】結果入力表!$B$7:$J$78,8,FALSE)</f>
        <v/>
      </c>
      <c r="BR86" s="46"/>
      <c r="BS86" s="50"/>
    </row>
    <row r="87" spans="2:72" ht="37.5" customHeight="1" x14ac:dyDescent="0.15">
      <c r="B87" s="37"/>
      <c r="C87" s="32"/>
      <c r="D87" s="33"/>
      <c r="E87" s="34" t="s">
        <v>49</v>
      </c>
      <c r="F87" s="38"/>
      <c r="G87" s="32"/>
      <c r="H87" s="36"/>
      <c r="K87" s="37"/>
      <c r="L87" s="32"/>
      <c r="M87" s="33"/>
      <c r="N87" s="34" t="s">
        <v>49</v>
      </c>
      <c r="O87" s="38"/>
      <c r="P87" s="32"/>
      <c r="Q87" s="36"/>
      <c r="T87" s="37"/>
      <c r="U87" s="32"/>
      <c r="V87" s="33"/>
      <c r="W87" s="34" t="s">
        <v>49</v>
      </c>
      <c r="X87" s="38"/>
      <c r="Y87" s="32"/>
      <c r="Z87" s="36"/>
      <c r="AC87" s="37"/>
      <c r="AD87" s="32"/>
      <c r="AE87" s="33"/>
      <c r="AF87" s="34" t="s">
        <v>49</v>
      </c>
      <c r="AG87" s="38"/>
      <c r="AH87" s="32"/>
      <c r="AI87" s="36"/>
      <c r="AL87" s="37"/>
      <c r="AM87" s="32"/>
      <c r="AN87" s="33"/>
      <c r="AO87" s="34" t="s">
        <v>49</v>
      </c>
      <c r="AP87" s="38"/>
      <c r="AQ87" s="32"/>
      <c r="AR87" s="36"/>
      <c r="AU87" s="37"/>
      <c r="AV87" s="32"/>
      <c r="AW87" s="33"/>
      <c r="AX87" s="34" t="s">
        <v>49</v>
      </c>
      <c r="AY87" s="38"/>
      <c r="AZ87" s="32"/>
      <c r="BA87" s="36"/>
      <c r="BD87" s="37"/>
      <c r="BE87" s="32"/>
      <c r="BF87" s="33"/>
      <c r="BG87" s="34" t="s">
        <v>49</v>
      </c>
      <c r="BH87" s="38"/>
      <c r="BI87" s="32"/>
      <c r="BJ87" s="36"/>
      <c r="BM87" s="37"/>
      <c r="BN87" s="32"/>
      <c r="BO87" s="33"/>
      <c r="BP87" s="34" t="s">
        <v>49</v>
      </c>
      <c r="BQ87" s="38"/>
      <c r="BR87" s="32"/>
      <c r="BS87" s="36"/>
    </row>
    <row r="88" spans="2:72" ht="37.5" customHeight="1" thickBot="1" x14ac:dyDescent="0.2">
      <c r="B88" s="39"/>
      <c r="C88" s="40"/>
      <c r="D88" s="41"/>
      <c r="E88" s="42" t="s">
        <v>50</v>
      </c>
      <c r="F88" s="43"/>
      <c r="G88" s="40"/>
      <c r="H88" s="44"/>
      <c r="K88" s="39"/>
      <c r="L88" s="40"/>
      <c r="M88" s="41"/>
      <c r="N88" s="42" t="s">
        <v>50</v>
      </c>
      <c r="O88" s="43"/>
      <c r="P88" s="40"/>
      <c r="Q88" s="44"/>
      <c r="T88" s="39"/>
      <c r="U88" s="40"/>
      <c r="V88" s="41"/>
      <c r="W88" s="42" t="s">
        <v>50</v>
      </c>
      <c r="X88" s="43"/>
      <c r="Y88" s="40"/>
      <c r="Z88" s="44"/>
      <c r="AC88" s="39"/>
      <c r="AD88" s="40"/>
      <c r="AE88" s="41"/>
      <c r="AF88" s="42" t="s">
        <v>50</v>
      </c>
      <c r="AG88" s="43"/>
      <c r="AH88" s="40"/>
      <c r="AI88" s="44"/>
      <c r="AL88" s="39"/>
      <c r="AM88" s="40"/>
      <c r="AN88" s="41"/>
      <c r="AO88" s="42" t="s">
        <v>50</v>
      </c>
      <c r="AP88" s="43"/>
      <c r="AQ88" s="40"/>
      <c r="AR88" s="44"/>
      <c r="AU88" s="39"/>
      <c r="AV88" s="40"/>
      <c r="AW88" s="41"/>
      <c r="AX88" s="42" t="s">
        <v>50</v>
      </c>
      <c r="AY88" s="43"/>
      <c r="AZ88" s="40"/>
      <c r="BA88" s="44"/>
      <c r="BD88" s="39"/>
      <c r="BE88" s="40"/>
      <c r="BF88" s="41"/>
      <c r="BG88" s="42" t="s">
        <v>50</v>
      </c>
      <c r="BH88" s="43"/>
      <c r="BI88" s="40"/>
      <c r="BJ88" s="44"/>
      <c r="BM88" s="39"/>
      <c r="BN88" s="40"/>
      <c r="BO88" s="41"/>
      <c r="BP88" s="42" t="s">
        <v>50</v>
      </c>
      <c r="BQ88" s="43"/>
      <c r="BR88" s="40"/>
      <c r="BS88" s="44"/>
    </row>
    <row r="90" spans="2:72" ht="17.25" x14ac:dyDescent="0.2">
      <c r="D90" s="23"/>
      <c r="E90" s="14" t="s">
        <v>52</v>
      </c>
      <c r="F90" s="52" t="str">
        <f>VLOOKUP(C83,【進行】結果入力表!$B$7:$M$78,11,FALSE)</f>
        <v>SBC</v>
      </c>
      <c r="G90" s="53" t="str">
        <f>VLOOKUP(C83,【進行】結果入力表!$B$7:$M$78,12,FALSE)</f>
        <v>大橋　義治</v>
      </c>
      <c r="H90" s="23"/>
      <c r="M90" s="23"/>
      <c r="N90" s="14" t="s">
        <v>52</v>
      </c>
      <c r="O90" s="52" t="str">
        <f>VLOOKUP(L83,【進行】結果入力表!$B$7:$M$78,11,FALSE)</f>
        <v>SBC</v>
      </c>
      <c r="P90" s="53" t="str">
        <f>VLOOKUP(L83,【進行】結果入力表!$B$7:$M$78,12,FALSE)</f>
        <v>林　秀忠</v>
      </c>
      <c r="Q90" s="23"/>
      <c r="V90" s="23"/>
      <c r="W90" s="14" t="s">
        <v>52</v>
      </c>
      <c r="X90" s="52" t="str">
        <f>VLOOKUP(U83,【進行】結果入力表!$B$7:$M$78,11,FALSE)</f>
        <v>SBC</v>
      </c>
      <c r="Y90" s="53" t="str">
        <f>VLOOKUP(U83,【進行】結果入力表!$B$7:$M$78,12,FALSE)</f>
        <v>西峰　久祐</v>
      </c>
      <c r="Z90" s="23"/>
      <c r="AE90" s="23"/>
      <c r="AF90" s="14" t="s">
        <v>52</v>
      </c>
      <c r="AG90" s="52" t="str">
        <f>VLOOKUP(AD83,【進行】結果入力表!$B$7:$M$78,11,FALSE)</f>
        <v>SBC</v>
      </c>
      <c r="AH90" s="53" t="str">
        <f>VLOOKUP(AD83,【進行】結果入力表!$B$7:$M$78,12,FALSE)</f>
        <v>山中　康裕</v>
      </c>
      <c r="AI90" s="23"/>
      <c r="AN90" s="23"/>
      <c r="AO90" s="14" t="s">
        <v>52</v>
      </c>
      <c r="AP90" s="52" t="str">
        <f>VLOOKUP(AM83,【進行】結果入力表!$B$7:$M$78,11,FALSE)</f>
        <v>SBC</v>
      </c>
      <c r="AQ90" s="53" t="str">
        <f>VLOOKUP(AM83,【進行】結果入力表!$B$7:$M$78,12,FALSE)</f>
        <v>柳川　哲也</v>
      </c>
      <c r="AR90" s="23"/>
      <c r="AW90" s="23"/>
      <c r="AX90" s="14" t="s">
        <v>52</v>
      </c>
      <c r="AY90" s="52" t="str">
        <f>VLOOKUP(AV83,【進行】結果入力表!$B$7:$M$78,11,FALSE)</f>
        <v>SBC</v>
      </c>
      <c r="AZ90" s="53" t="str">
        <f>VLOOKUP(AV83,【進行】結果入力表!$B$7:$M$78,12,FALSE)</f>
        <v>大橋　正寛</v>
      </c>
      <c r="BA90" s="23"/>
      <c r="BF90" s="23"/>
      <c r="BG90" s="14" t="s">
        <v>52</v>
      </c>
      <c r="BH90" s="52" t="str">
        <f>VLOOKUP(BE83,【進行】結果入力表!$B$7:$M$78,11,FALSE)</f>
        <v>SBC</v>
      </c>
      <c r="BI90" s="53" t="str">
        <f>VLOOKUP(BE83,【進行】結果入力表!$B$7:$M$78,12,FALSE)</f>
        <v>大橋　洋子</v>
      </c>
      <c r="BJ90" s="23"/>
      <c r="BO90" s="23"/>
      <c r="BP90" s="14" t="s">
        <v>52</v>
      </c>
      <c r="BQ90" s="52" t="str">
        <f>VLOOKUP(BN83,【進行】結果入力表!$B$7:$M$78,11,FALSE)</f>
        <v>NRC</v>
      </c>
      <c r="BR90" s="53" t="str">
        <f>VLOOKUP(BN83,【進行】結果入力表!$B$7:$M$78,12,FALSE)</f>
        <v/>
      </c>
      <c r="BS90" s="23"/>
    </row>
    <row r="91" spans="2:72" ht="15" customHeight="1" x14ac:dyDescent="0.15">
      <c r="B91" s="19" t="str">
        <f>【結果】個人成績表!$A$1</f>
        <v>第17回　和奈滋対抗戦　　　(和歌山；オーシャンドリーム)</v>
      </c>
      <c r="C91" s="20"/>
      <c r="D91" s="20"/>
      <c r="E91" s="20"/>
      <c r="F91" s="20"/>
      <c r="G91" s="20"/>
      <c r="H91" s="21"/>
      <c r="K91" s="19" t="str">
        <f>【結果】個人成績表!$A$1</f>
        <v>第17回　和奈滋対抗戦　　　(和歌山；オーシャンドリーム)</v>
      </c>
      <c r="L91" s="20"/>
      <c r="M91" s="20"/>
      <c r="N91" s="20"/>
      <c r="O91" s="20"/>
      <c r="P91" s="20"/>
      <c r="Q91" s="21"/>
      <c r="T91" s="19" t="str">
        <f>【結果】個人成績表!$A$1</f>
        <v>第17回　和奈滋対抗戦　　　(和歌山；オーシャンドリーム)</v>
      </c>
      <c r="U91" s="20"/>
      <c r="V91" s="20"/>
      <c r="W91" s="20"/>
      <c r="X91" s="20"/>
      <c r="Y91" s="20"/>
      <c r="Z91" s="21"/>
      <c r="AC91" s="19" t="str">
        <f>【結果】個人成績表!$A$1</f>
        <v>第17回　和奈滋対抗戦　　　(和歌山；オーシャンドリーム)</v>
      </c>
      <c r="AD91" s="20"/>
      <c r="AE91" s="20"/>
      <c r="AF91" s="20"/>
      <c r="AG91" s="20"/>
      <c r="AH91" s="20"/>
      <c r="AI91" s="21"/>
      <c r="AL91" s="19" t="str">
        <f>【結果】個人成績表!$A$1</f>
        <v>第17回　和奈滋対抗戦　　　(和歌山；オーシャンドリーム)</v>
      </c>
      <c r="AM91" s="20"/>
      <c r="AN91" s="20"/>
      <c r="AO91" s="20"/>
      <c r="AP91" s="20"/>
      <c r="AQ91" s="20"/>
      <c r="AR91" s="21"/>
      <c r="AU91" s="19" t="str">
        <f>【結果】個人成績表!$A$1</f>
        <v>第17回　和奈滋対抗戦　　　(和歌山；オーシャンドリーム)</v>
      </c>
      <c r="AV91" s="20"/>
      <c r="AW91" s="20"/>
      <c r="AX91" s="20"/>
      <c r="AY91" s="20"/>
      <c r="AZ91" s="20"/>
      <c r="BA91" s="21"/>
      <c r="BD91" s="19" t="str">
        <f>【結果】個人成績表!$A$1</f>
        <v>第17回　和奈滋対抗戦　　　(和歌山；オーシャンドリーム)</v>
      </c>
      <c r="BE91" s="20"/>
      <c r="BF91" s="20"/>
      <c r="BG91" s="20"/>
      <c r="BH91" s="20"/>
      <c r="BI91" s="20"/>
      <c r="BJ91" s="21"/>
      <c r="BM91" s="19" t="str">
        <f>【結果】個人成績表!$A$1</f>
        <v>第17回　和奈滋対抗戦　　　(和歌山；オーシャンドリーム)</v>
      </c>
      <c r="BN91" s="20"/>
      <c r="BO91" s="20"/>
      <c r="BP91" s="20"/>
      <c r="BQ91" s="20"/>
      <c r="BR91" s="20"/>
      <c r="BS91" s="21"/>
      <c r="BT91" t="s">
        <v>43</v>
      </c>
    </row>
    <row r="93" spans="2:72" s="22" customFormat="1" ht="15" customHeight="1" x14ac:dyDescent="0.2">
      <c r="B93" s="23" t="s">
        <v>45</v>
      </c>
      <c r="C93" s="24">
        <f>【進行】結果入力表!B71</f>
        <v>57</v>
      </c>
      <c r="F93" s="23" t="s">
        <v>46</v>
      </c>
      <c r="G93" s="24"/>
      <c r="K93" s="23" t="s">
        <v>45</v>
      </c>
      <c r="L93" s="24">
        <f>【進行】結果入力表!B72</f>
        <v>58</v>
      </c>
      <c r="O93" s="23" t="s">
        <v>46</v>
      </c>
      <c r="P93" s="24"/>
      <c r="T93" s="23" t="s">
        <v>45</v>
      </c>
      <c r="U93" s="24">
        <f>【進行】結果入力表!B73</f>
        <v>59</v>
      </c>
      <c r="X93" s="23" t="s">
        <v>46</v>
      </c>
      <c r="Y93" s="24"/>
      <c r="AC93" s="23" t="s">
        <v>45</v>
      </c>
      <c r="AD93" s="24">
        <f>【進行】結果入力表!B74</f>
        <v>60</v>
      </c>
      <c r="AG93" s="23" t="s">
        <v>46</v>
      </c>
      <c r="AH93" s="24"/>
      <c r="AL93" s="23" t="s">
        <v>45</v>
      </c>
      <c r="AM93" s="24">
        <f>【進行】結果入力表!B75</f>
        <v>61</v>
      </c>
      <c r="AP93" s="23" t="s">
        <v>46</v>
      </c>
      <c r="AQ93" s="24"/>
      <c r="AU93" s="23" t="s">
        <v>45</v>
      </c>
      <c r="AV93" s="24">
        <f>【進行】結果入力表!B76</f>
        <v>62</v>
      </c>
      <c r="AY93" s="23" t="s">
        <v>46</v>
      </c>
      <c r="AZ93" s="24"/>
      <c r="BD93" s="23" t="s">
        <v>45</v>
      </c>
      <c r="BE93" s="24">
        <f>【進行】結果入力表!B77</f>
        <v>63</v>
      </c>
      <c r="BH93" s="23" t="s">
        <v>46</v>
      </c>
      <c r="BI93" s="24"/>
      <c r="BM93" s="23" t="s">
        <v>45</v>
      </c>
      <c r="BN93" s="24" t="str">
        <f>【進行】結果入力表!B78</f>
        <v/>
      </c>
      <c r="BQ93" s="23" t="s">
        <v>46</v>
      </c>
      <c r="BR93" s="24"/>
    </row>
    <row r="95" spans="2:72" ht="31.5" customHeight="1" x14ac:dyDescent="0.15">
      <c r="B95" s="25" t="str">
        <f>VLOOKUP(C93,【進行】結果入力表!$B$7:$J$78,2,FALSE)</f>
        <v>NRC</v>
      </c>
      <c r="C95" s="26"/>
      <c r="D95" s="27"/>
      <c r="E95" s="28" t="s">
        <v>47</v>
      </c>
      <c r="F95" s="29" t="str">
        <f>VLOOKUP(C93,【進行】結果入力表!$B$7:$J$78,9,FALSE)</f>
        <v>SBC</v>
      </c>
      <c r="G95" s="26"/>
      <c r="H95" s="30"/>
      <c r="K95" s="25" t="str">
        <f>VLOOKUP(L93,【進行】結果入力表!$B$7:$J$78,2,FALSE)</f>
        <v>NRC</v>
      </c>
      <c r="L95" s="26"/>
      <c r="M95" s="27"/>
      <c r="N95" s="28" t="s">
        <v>47</v>
      </c>
      <c r="O95" s="29" t="str">
        <f>VLOOKUP(L93,【進行】結果入力表!$B$7:$J$78,9,FALSE)</f>
        <v>SBC</v>
      </c>
      <c r="P95" s="26"/>
      <c r="Q95" s="30"/>
      <c r="T95" s="25" t="str">
        <f>VLOOKUP(U93,【進行】結果入力表!$B$7:$J$78,2,FALSE)</f>
        <v>NRC</v>
      </c>
      <c r="U95" s="26"/>
      <c r="V95" s="27"/>
      <c r="W95" s="28" t="s">
        <v>47</v>
      </c>
      <c r="X95" s="29" t="str">
        <f>VLOOKUP(U93,【進行】結果入力表!$B$7:$J$78,9,FALSE)</f>
        <v>SBC</v>
      </c>
      <c r="Y95" s="26"/>
      <c r="Z95" s="30"/>
      <c r="AC95" s="25" t="str">
        <f>VLOOKUP(AD93,【進行】結果入力表!$B$7:$J$78,2,FALSE)</f>
        <v>NRC</v>
      </c>
      <c r="AD95" s="26"/>
      <c r="AE95" s="27"/>
      <c r="AF95" s="28" t="s">
        <v>47</v>
      </c>
      <c r="AG95" s="29" t="str">
        <f>VLOOKUP(AD93,【進行】結果入力表!$B$7:$J$78,9,FALSE)</f>
        <v>SBC</v>
      </c>
      <c r="AH95" s="26"/>
      <c r="AI95" s="30"/>
      <c r="AL95" s="25" t="str">
        <f>VLOOKUP(AM93,【進行】結果入力表!$B$7:$J$78,2,FALSE)</f>
        <v>NRC</v>
      </c>
      <c r="AM95" s="26"/>
      <c r="AN95" s="27"/>
      <c r="AO95" s="28" t="s">
        <v>47</v>
      </c>
      <c r="AP95" s="29" t="str">
        <f>VLOOKUP(AM93,【進行】結果入力表!$B$7:$J$78,9,FALSE)</f>
        <v>SBC</v>
      </c>
      <c r="AQ95" s="26"/>
      <c r="AR95" s="30"/>
      <c r="AU95" s="25" t="str">
        <f>VLOOKUP(AV93,【進行】結果入力表!$B$7:$J$78,2,FALSE)</f>
        <v>NRC</v>
      </c>
      <c r="AV95" s="26"/>
      <c r="AW95" s="27"/>
      <c r="AX95" s="28" t="s">
        <v>47</v>
      </c>
      <c r="AY95" s="29" t="str">
        <f>VLOOKUP(AV93,【進行】結果入力表!$B$7:$J$78,9,FALSE)</f>
        <v>SBC</v>
      </c>
      <c r="AZ95" s="26"/>
      <c r="BA95" s="30"/>
      <c r="BD95" s="25" t="str">
        <f>VLOOKUP(BE93,【進行】結果入力表!$B$7:$J$78,2,FALSE)</f>
        <v>NRC</v>
      </c>
      <c r="BE95" s="26"/>
      <c r="BF95" s="27"/>
      <c r="BG95" s="28" t="s">
        <v>47</v>
      </c>
      <c r="BH95" s="29" t="str">
        <f>VLOOKUP(BE93,【進行】結果入力表!$B$7:$J$78,9,FALSE)</f>
        <v>SBC</v>
      </c>
      <c r="BI95" s="26"/>
      <c r="BJ95" s="30"/>
      <c r="BM95" s="25" t="str">
        <f>VLOOKUP(BN93,【進行】結果入力表!$B$7:$J$78,2,FALSE)</f>
        <v>WRC</v>
      </c>
      <c r="BN95" s="26"/>
      <c r="BO95" s="27"/>
      <c r="BP95" s="28" t="s">
        <v>47</v>
      </c>
      <c r="BQ95" s="29" t="str">
        <f>VLOOKUP(BN93,【進行】結果入力表!$B$7:$J$78,9,FALSE)</f>
        <v>SBC</v>
      </c>
      <c r="BR95" s="26"/>
      <c r="BS95" s="30"/>
    </row>
    <row r="96" spans="2:72" s="51" customFormat="1" ht="46.5" customHeight="1" x14ac:dyDescent="0.15">
      <c r="B96" s="45" t="str">
        <f>VLOOKUP(C93,【進行】結果入力表!$B$7:$J$78,3,FALSE)</f>
        <v>長谷川　進</v>
      </c>
      <c r="C96" s="46"/>
      <c r="D96" s="47"/>
      <c r="E96" s="48" t="s">
        <v>48</v>
      </c>
      <c r="F96" s="49" t="str">
        <f>VLOOKUP(C93,【進行】結果入力表!$B$7:$J$78,8,FALSE)</f>
        <v>大橋　義治</v>
      </c>
      <c r="G96" s="46"/>
      <c r="H96" s="50"/>
      <c r="K96" s="45" t="str">
        <f>VLOOKUP(L93,【進行】結果入力表!$B$7:$J$78,3,FALSE)</f>
        <v>白戸　恭子</v>
      </c>
      <c r="L96" s="46"/>
      <c r="M96" s="47"/>
      <c r="N96" s="48" t="s">
        <v>48</v>
      </c>
      <c r="O96" s="49" t="str">
        <f>VLOOKUP(L93,【進行】結果入力表!$B$7:$J$78,8,FALSE)</f>
        <v>林　秀忠</v>
      </c>
      <c r="P96" s="46"/>
      <c r="Q96" s="50"/>
      <c r="T96" s="45" t="str">
        <f>VLOOKUP(U93,【進行】結果入力表!$B$7:$J$78,3,FALSE)</f>
        <v>白戸　玲人</v>
      </c>
      <c r="U96" s="46"/>
      <c r="V96" s="47"/>
      <c r="W96" s="48" t="s">
        <v>48</v>
      </c>
      <c r="X96" s="49" t="str">
        <f>VLOOKUP(U93,【進行】結果入力表!$B$7:$J$78,8,FALSE)</f>
        <v>西峰　久祐</v>
      </c>
      <c r="Y96" s="46"/>
      <c r="Z96" s="50"/>
      <c r="AC96" s="45" t="str">
        <f>VLOOKUP(AD93,【進行】結果入力表!$B$7:$J$78,3,FALSE)</f>
        <v>吉向　翔平</v>
      </c>
      <c r="AD96" s="46"/>
      <c r="AE96" s="47"/>
      <c r="AF96" s="48" t="s">
        <v>48</v>
      </c>
      <c r="AG96" s="49" t="str">
        <f>VLOOKUP(AD93,【進行】結果入力表!$B$7:$J$78,8,FALSE)</f>
        <v>山中　康裕</v>
      </c>
      <c r="AH96" s="46"/>
      <c r="AI96" s="50"/>
      <c r="AL96" s="45" t="str">
        <f>VLOOKUP(AM93,【進行】結果入力表!$B$7:$J$78,3,FALSE)</f>
        <v>植田　慎也</v>
      </c>
      <c r="AM96" s="46"/>
      <c r="AN96" s="47"/>
      <c r="AO96" s="48" t="s">
        <v>48</v>
      </c>
      <c r="AP96" s="49" t="str">
        <f>VLOOKUP(AM93,【進行】結果入力表!$B$7:$J$78,8,FALSE)</f>
        <v>柳川　哲也</v>
      </c>
      <c r="AQ96" s="46"/>
      <c r="AR96" s="50"/>
      <c r="AU96" s="45" t="str">
        <f>VLOOKUP(AV93,【進行】結果入力表!$B$7:$J$78,3,FALSE)</f>
        <v>岩本　剛</v>
      </c>
      <c r="AV96" s="46"/>
      <c r="AW96" s="47"/>
      <c r="AX96" s="48" t="s">
        <v>48</v>
      </c>
      <c r="AY96" s="49" t="str">
        <f>VLOOKUP(AV93,【進行】結果入力表!$B$7:$J$78,8,FALSE)</f>
        <v>大橋　正寛</v>
      </c>
      <c r="AZ96" s="46"/>
      <c r="BA96" s="50"/>
      <c r="BD96" s="45" t="str">
        <f>VLOOKUP(BE93,【進行】結果入力表!$B$7:$J$78,3,FALSE)</f>
        <v>斎藤　大輔</v>
      </c>
      <c r="BE96" s="46"/>
      <c r="BF96" s="47"/>
      <c r="BG96" s="48" t="s">
        <v>48</v>
      </c>
      <c r="BH96" s="49" t="str">
        <f>VLOOKUP(BE93,【進行】結果入力表!$B$7:$J$78,8,FALSE)</f>
        <v>大橋　洋子</v>
      </c>
      <c r="BI96" s="46"/>
      <c r="BJ96" s="50"/>
      <c r="BM96" s="45" t="str">
        <f>VLOOKUP(BN93,【進行】結果入力表!$B$7:$J$78,3,FALSE)</f>
        <v/>
      </c>
      <c r="BN96" s="46"/>
      <c r="BO96" s="47"/>
      <c r="BP96" s="48" t="s">
        <v>48</v>
      </c>
      <c r="BQ96" s="49" t="str">
        <f>VLOOKUP(BN93,【進行】結果入力表!$B$7:$J$78,8,FALSE)</f>
        <v/>
      </c>
      <c r="BR96" s="46"/>
      <c r="BS96" s="50"/>
    </row>
    <row r="97" spans="2:71" ht="37.5" customHeight="1" x14ac:dyDescent="0.15">
      <c r="B97" s="37"/>
      <c r="C97" s="32"/>
      <c r="D97" s="33"/>
      <c r="E97" s="34" t="s">
        <v>49</v>
      </c>
      <c r="F97" s="38"/>
      <c r="G97" s="32"/>
      <c r="H97" s="36"/>
      <c r="K97" s="37"/>
      <c r="L97" s="32"/>
      <c r="M97" s="33"/>
      <c r="N97" s="34" t="s">
        <v>49</v>
      </c>
      <c r="O97" s="38"/>
      <c r="P97" s="32"/>
      <c r="Q97" s="36"/>
      <c r="T97" s="37"/>
      <c r="U97" s="32"/>
      <c r="V97" s="33"/>
      <c r="W97" s="34" t="s">
        <v>49</v>
      </c>
      <c r="X97" s="38"/>
      <c r="Y97" s="32"/>
      <c r="Z97" s="36"/>
      <c r="AC97" s="37"/>
      <c r="AD97" s="32"/>
      <c r="AE97" s="33"/>
      <c r="AF97" s="34" t="s">
        <v>49</v>
      </c>
      <c r="AG97" s="38"/>
      <c r="AH97" s="32"/>
      <c r="AI97" s="36"/>
      <c r="AL97" s="37"/>
      <c r="AM97" s="32"/>
      <c r="AN97" s="33"/>
      <c r="AO97" s="34" t="s">
        <v>49</v>
      </c>
      <c r="AP97" s="38"/>
      <c r="AQ97" s="32"/>
      <c r="AR97" s="36"/>
      <c r="AU97" s="37"/>
      <c r="AV97" s="32"/>
      <c r="AW97" s="33"/>
      <c r="AX97" s="34" t="s">
        <v>49</v>
      </c>
      <c r="AY97" s="38"/>
      <c r="AZ97" s="32"/>
      <c r="BA97" s="36"/>
      <c r="BD97" s="37"/>
      <c r="BE97" s="32"/>
      <c r="BF97" s="33"/>
      <c r="BG97" s="34" t="s">
        <v>49</v>
      </c>
      <c r="BH97" s="38"/>
      <c r="BI97" s="32"/>
      <c r="BJ97" s="36"/>
      <c r="BM97" s="37"/>
      <c r="BN97" s="32"/>
      <c r="BO97" s="33"/>
      <c r="BP97" s="34" t="s">
        <v>49</v>
      </c>
      <c r="BQ97" s="38"/>
      <c r="BR97" s="32"/>
      <c r="BS97" s="36"/>
    </row>
    <row r="98" spans="2:71" ht="37.5" customHeight="1" thickBot="1" x14ac:dyDescent="0.2">
      <c r="B98" s="39"/>
      <c r="C98" s="40"/>
      <c r="D98" s="41"/>
      <c r="E98" s="42" t="s">
        <v>50</v>
      </c>
      <c r="F98" s="43"/>
      <c r="G98" s="40"/>
      <c r="H98" s="44"/>
      <c r="K98" s="39"/>
      <c r="L98" s="40"/>
      <c r="M98" s="41"/>
      <c r="N98" s="42" t="s">
        <v>50</v>
      </c>
      <c r="O98" s="43"/>
      <c r="P98" s="40"/>
      <c r="Q98" s="44"/>
      <c r="T98" s="39"/>
      <c r="U98" s="40"/>
      <c r="V98" s="41"/>
      <c r="W98" s="42" t="s">
        <v>50</v>
      </c>
      <c r="X98" s="43"/>
      <c r="Y98" s="40"/>
      <c r="Z98" s="44"/>
      <c r="AC98" s="39"/>
      <c r="AD98" s="40"/>
      <c r="AE98" s="41"/>
      <c r="AF98" s="42" t="s">
        <v>50</v>
      </c>
      <c r="AG98" s="43"/>
      <c r="AH98" s="40"/>
      <c r="AI98" s="44"/>
      <c r="AL98" s="39"/>
      <c r="AM98" s="40"/>
      <c r="AN98" s="41"/>
      <c r="AO98" s="42" t="s">
        <v>50</v>
      </c>
      <c r="AP98" s="43"/>
      <c r="AQ98" s="40"/>
      <c r="AR98" s="44"/>
      <c r="AU98" s="39"/>
      <c r="AV98" s="40"/>
      <c r="AW98" s="41"/>
      <c r="AX98" s="42" t="s">
        <v>50</v>
      </c>
      <c r="AY98" s="43"/>
      <c r="AZ98" s="40"/>
      <c r="BA98" s="44"/>
      <c r="BD98" s="39"/>
      <c r="BE98" s="40"/>
      <c r="BF98" s="41"/>
      <c r="BG98" s="42" t="s">
        <v>50</v>
      </c>
      <c r="BH98" s="43"/>
      <c r="BI98" s="40"/>
      <c r="BJ98" s="44"/>
      <c r="BM98" s="39"/>
      <c r="BN98" s="40"/>
      <c r="BO98" s="41"/>
      <c r="BP98" s="42" t="s">
        <v>50</v>
      </c>
      <c r="BQ98" s="43"/>
      <c r="BR98" s="40"/>
      <c r="BS98" s="44"/>
    </row>
    <row r="100" spans="2:71" ht="17.25" x14ac:dyDescent="0.2">
      <c r="D100" s="23"/>
      <c r="E100" s="14" t="s">
        <v>52</v>
      </c>
      <c r="F100" s="52" t="str">
        <f>VLOOKUP(C93,【進行】結果入力表!$B$7:$M$78,11,FALSE)</f>
        <v>WRC</v>
      </c>
      <c r="G100" s="53" t="str">
        <f>VLOOKUP(C93,【進行】結果入力表!$B$7:$M$78,12,FALSE)</f>
        <v>末岡　修</v>
      </c>
      <c r="H100" s="23"/>
      <c r="M100" s="23"/>
      <c r="N100" s="14" t="s">
        <v>52</v>
      </c>
      <c r="O100" s="52" t="str">
        <f>VLOOKUP(L93,【進行】結果入力表!$B$7:$M$78,11,FALSE)</f>
        <v>WRC</v>
      </c>
      <c r="P100" s="53" t="str">
        <f>VLOOKUP(L93,【進行】結果入力表!$B$7:$M$78,12,FALSE)</f>
        <v>中本　雅大</v>
      </c>
      <c r="Q100" s="23"/>
      <c r="V100" s="23"/>
      <c r="W100" s="14" t="s">
        <v>52</v>
      </c>
      <c r="X100" s="52" t="str">
        <f>VLOOKUP(U93,【進行】結果入力表!$B$7:$M$78,11,FALSE)</f>
        <v>WRC</v>
      </c>
      <c r="Y100" s="53" t="str">
        <f>VLOOKUP(U93,【進行】結果入力表!$B$7:$M$78,12,FALSE)</f>
        <v>大迫　忠典</v>
      </c>
      <c r="Z100" s="23"/>
      <c r="AE100" s="23"/>
      <c r="AF100" s="14" t="s">
        <v>52</v>
      </c>
      <c r="AG100" s="52" t="str">
        <f>VLOOKUP(AD93,【進行】結果入力表!$B$7:$M$78,11,FALSE)</f>
        <v>WRC</v>
      </c>
      <c r="AH100" s="53" t="str">
        <f>VLOOKUP(AD93,【進行】結果入力表!$B$7:$M$78,12,FALSE)</f>
        <v>松房　ゆかり</v>
      </c>
      <c r="AI100" s="23"/>
      <c r="AN100" s="23"/>
      <c r="AO100" s="14" t="s">
        <v>52</v>
      </c>
      <c r="AP100" s="52" t="str">
        <f>VLOOKUP(AM93,【進行】結果入力表!$B$7:$M$78,11,FALSE)</f>
        <v>WRC</v>
      </c>
      <c r="AQ100" s="53" t="str">
        <f>VLOOKUP(AM93,【進行】結果入力表!$B$7:$M$78,12,FALSE)</f>
        <v>森田　憲</v>
      </c>
      <c r="AR100" s="23"/>
      <c r="AW100" s="23"/>
      <c r="AX100" s="14" t="s">
        <v>52</v>
      </c>
      <c r="AY100" s="52" t="str">
        <f>VLOOKUP(AV93,【進行】結果入力表!$B$7:$M$78,11,FALSE)</f>
        <v>WRC</v>
      </c>
      <c r="AZ100" s="53" t="str">
        <f>VLOOKUP(AV93,【進行】結果入力表!$B$7:$M$78,12,FALSE)</f>
        <v>和田　宗一郎</v>
      </c>
      <c r="BA100" s="23"/>
      <c r="BF100" s="23"/>
      <c r="BG100" s="14" t="s">
        <v>52</v>
      </c>
      <c r="BH100" s="52" t="str">
        <f>VLOOKUP(BE93,【進行】結果入力表!$B$7:$M$78,11,FALSE)</f>
        <v>WRC</v>
      </c>
      <c r="BI100" s="53" t="str">
        <f>VLOOKUP(BE93,【進行】結果入力表!$B$7:$M$78,12,FALSE)</f>
        <v>杉本　博章</v>
      </c>
      <c r="BJ100" s="23"/>
      <c r="BO100" s="23"/>
      <c r="BP100" s="14" t="s">
        <v>52</v>
      </c>
      <c r="BQ100" s="52" t="str">
        <f>VLOOKUP(BN93,【進行】結果入力表!$B$7:$M$78,11,FALSE)</f>
        <v>NRC</v>
      </c>
      <c r="BR100" s="53" t="str">
        <f>VLOOKUP(BN93,【進行】結果入力表!$B$7:$M$78,12,FALSE)</f>
        <v/>
      </c>
      <c r="BS100" s="23"/>
    </row>
    <row r="105" spans="2:71" ht="15" customHeight="1" x14ac:dyDescent="0.15">
      <c r="F105" t="s">
        <v>53</v>
      </c>
    </row>
  </sheetData>
  <phoneticPr fontId="2"/>
  <printOptions horizontalCentered="1" verticalCentered="1"/>
  <pageMargins left="0" right="0" top="0" bottom="0.39374999999999999" header="0" footer="0"/>
  <pageSetup paperSize="43" firstPageNumber="4294963191" fitToWidth="6" fitToHeight="6" orientation="landscape" horizontalDpi="4294967293" r:id="rId1"/>
  <headerFooter alignWithMargins="0"/>
  <rowBreaks count="8" manualBreakCount="8">
    <brk id="20" max="16383" man="1"/>
    <brk id="30" max="16383" man="1"/>
    <brk id="40" max="16383" man="1"/>
    <brk id="50" max="16383" man="1"/>
    <brk id="60" max="16383" man="1"/>
    <brk id="70" max="16383" man="1"/>
    <brk id="80" max="16383" man="1"/>
    <brk id="90" max="16383" man="1"/>
  </rowBreaks>
  <colBreaks count="6" manualBreakCount="6">
    <brk id="9" max="1048575" man="1"/>
    <brk id="18" max="1048575" man="1"/>
    <brk id="27" max="1048575" man="1"/>
    <brk id="36" max="1048575" man="1"/>
    <brk id="45" max="1048575" man="1"/>
    <brk id="5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5:O78"/>
  <sheetViews>
    <sheetView topLeftCell="A65" workbookViewId="0">
      <selection activeCell="J81" sqref="J81"/>
    </sheetView>
  </sheetViews>
  <sheetFormatPr defaultColWidth="6.625" defaultRowHeight="18" customHeight="1" x14ac:dyDescent="0.15"/>
  <cols>
    <col min="1" max="1" width="5.375" style="54" customWidth="1"/>
    <col min="2" max="2" width="6.625" style="54" bestFit="1" customWidth="1"/>
    <col min="3" max="3" width="6" style="54" customWidth="1"/>
    <col min="4" max="4" width="10.75" style="54" customWidth="1"/>
    <col min="5" max="8" width="5.625" style="55" customWidth="1"/>
    <col min="9" max="9" width="10.75" style="54" customWidth="1"/>
    <col min="10" max="10" width="6.625" style="54" customWidth="1"/>
    <col min="11" max="11" width="6.125" style="54" customWidth="1"/>
    <col min="12" max="12" width="6.125" style="56" customWidth="1"/>
    <col min="13" max="13" width="11.625" style="56" bestFit="1" customWidth="1"/>
    <col min="14" max="16384" width="6.625" style="54"/>
  </cols>
  <sheetData>
    <row r="5" spans="1:13" ht="18" customHeight="1" thickBot="1" x14ac:dyDescent="0.2"/>
    <row r="6" spans="1:13" ht="18" customHeight="1" thickBot="1" x14ac:dyDescent="0.2">
      <c r="A6" s="55" t="s">
        <v>54</v>
      </c>
      <c r="B6" s="57" t="s">
        <v>45</v>
      </c>
      <c r="C6" s="58" t="s">
        <v>55</v>
      </c>
      <c r="D6" s="59" t="s">
        <v>56</v>
      </c>
      <c r="E6" s="59" t="s">
        <v>50</v>
      </c>
      <c r="F6" s="60" t="s">
        <v>49</v>
      </c>
      <c r="G6" s="58" t="s">
        <v>49</v>
      </c>
      <c r="H6" s="59" t="s">
        <v>50</v>
      </c>
      <c r="I6" s="61" t="s">
        <v>57</v>
      </c>
      <c r="J6" s="62" t="s">
        <v>58</v>
      </c>
      <c r="L6" s="56" t="s">
        <v>51</v>
      </c>
    </row>
    <row r="7" spans="1:13" ht="18" customHeight="1" thickTop="1" x14ac:dyDescent="0.15">
      <c r="A7" s="54" t="s">
        <v>59</v>
      </c>
      <c r="B7" s="63">
        <v>1</v>
      </c>
      <c r="C7" s="64" t="str">
        <f>IF(【準備】登録!B11="","",【準備】登録!B11)</f>
        <v>WRC</v>
      </c>
      <c r="D7" s="65" t="str">
        <f>IF(【準備】登録!$D$11="","",【準備】登録!$D$11)</f>
        <v>森田　憲</v>
      </c>
      <c r="E7" s="66"/>
      <c r="F7" s="67">
        <v>154</v>
      </c>
      <c r="G7" s="68" t="s">
        <v>124</v>
      </c>
      <c r="H7" s="66"/>
      <c r="I7" s="69" t="str">
        <f>IF(【準備】登録!$D$13="","",【準備】登録!$D$13)</f>
        <v>大橋　義治</v>
      </c>
      <c r="J7" s="70" t="str">
        <f>IF(【準備】登録!B13="","",【準備】登録!B13)</f>
        <v>SBC</v>
      </c>
      <c r="L7" s="56" t="str">
        <f t="shared" ref="L7:L14" si="0">J15</f>
        <v>NRC</v>
      </c>
      <c r="M7" s="56" t="str">
        <f t="shared" ref="M7:M14" si="1">I15</f>
        <v>白戸　玲人</v>
      </c>
    </row>
    <row r="8" spans="1:13" ht="18" customHeight="1" x14ac:dyDescent="0.15">
      <c r="B8" s="71">
        <v>2</v>
      </c>
      <c r="C8" s="72" t="str">
        <f t="shared" ref="C8:C22" si="2">$C$7</f>
        <v>WRC</v>
      </c>
      <c r="D8" s="73" t="str">
        <f>IF(【準備】登録!$G$11="","",【準備】登録!$G$11)</f>
        <v>和田　宗一郎</v>
      </c>
      <c r="E8" s="74"/>
      <c r="F8" s="75">
        <v>115</v>
      </c>
      <c r="G8" s="76" t="s">
        <v>124</v>
      </c>
      <c r="H8" s="74"/>
      <c r="I8" s="77" t="str">
        <f>IF(【準備】登録!$G$13="","",【準備】登録!$G$13)</f>
        <v>林　秀忠</v>
      </c>
      <c r="J8" s="78" t="str">
        <f t="shared" ref="J8:J14" si="3">$J$7</f>
        <v>SBC</v>
      </c>
      <c r="L8" s="56" t="str">
        <f t="shared" si="0"/>
        <v>NRC</v>
      </c>
      <c r="M8" s="56" t="str">
        <f t="shared" si="1"/>
        <v>吉向　翔平</v>
      </c>
    </row>
    <row r="9" spans="1:13" ht="18" customHeight="1" x14ac:dyDescent="0.15">
      <c r="B9" s="71">
        <v>3</v>
      </c>
      <c r="C9" s="72" t="str">
        <f t="shared" si="2"/>
        <v>WRC</v>
      </c>
      <c r="D9" s="73" t="str">
        <f>IF(【準備】登録!$J$11="","",【準備】登録!$J$11)</f>
        <v>杉本　博章</v>
      </c>
      <c r="E9" s="74"/>
      <c r="F9" s="75">
        <v>127</v>
      </c>
      <c r="G9" s="76" t="s">
        <v>124</v>
      </c>
      <c r="H9" s="74">
        <v>103</v>
      </c>
      <c r="I9" s="77" t="str">
        <f>IF(【準備】登録!$J$13="","",【準備】登録!$J$13)</f>
        <v>西峰　久祐</v>
      </c>
      <c r="J9" s="78" t="str">
        <f t="shared" si="3"/>
        <v>SBC</v>
      </c>
      <c r="L9" s="56" t="str">
        <f t="shared" si="0"/>
        <v>NRC</v>
      </c>
      <c r="M9" s="56" t="str">
        <f t="shared" si="1"/>
        <v>植田　慎也</v>
      </c>
    </row>
    <row r="10" spans="1:13" ht="18" customHeight="1" x14ac:dyDescent="0.15">
      <c r="B10" s="71">
        <v>4</v>
      </c>
      <c r="C10" s="72" t="str">
        <f t="shared" si="2"/>
        <v>WRC</v>
      </c>
      <c r="D10" s="73" t="str">
        <f>IF(【準備】登録!$M$11="","",【準備】登録!$M$11)</f>
        <v>末岡　修</v>
      </c>
      <c r="E10" s="74"/>
      <c r="F10" s="75">
        <v>93</v>
      </c>
      <c r="G10" s="76" t="s">
        <v>124</v>
      </c>
      <c r="H10" s="74"/>
      <c r="I10" s="77" t="str">
        <f>IF(【準備】登録!$M$13="","",【準備】登録!$M$13)</f>
        <v>山中　康裕</v>
      </c>
      <c r="J10" s="78" t="str">
        <f t="shared" si="3"/>
        <v>SBC</v>
      </c>
      <c r="L10" s="56" t="str">
        <f t="shared" si="0"/>
        <v>NRC</v>
      </c>
      <c r="M10" s="56" t="str">
        <f t="shared" si="1"/>
        <v>岩本　剛</v>
      </c>
    </row>
    <row r="11" spans="1:13" ht="18" customHeight="1" x14ac:dyDescent="0.15">
      <c r="B11" s="71">
        <v>5</v>
      </c>
      <c r="C11" s="72" t="str">
        <f t="shared" si="2"/>
        <v>WRC</v>
      </c>
      <c r="D11" s="73" t="str">
        <f>IF(【準備】登録!$P$11="","",【準備】登録!$P$11)</f>
        <v>中本　雅大</v>
      </c>
      <c r="E11" s="74"/>
      <c r="F11" s="75">
        <v>53</v>
      </c>
      <c r="G11" s="76" t="s">
        <v>124</v>
      </c>
      <c r="H11" s="74">
        <v>105</v>
      </c>
      <c r="I11" s="77" t="str">
        <f>IF(【準備】登録!$P$13="","",【準備】登録!$P$13)</f>
        <v>柳川　哲也</v>
      </c>
      <c r="J11" s="78" t="str">
        <f t="shared" si="3"/>
        <v>SBC</v>
      </c>
      <c r="L11" s="56" t="str">
        <f t="shared" si="0"/>
        <v>NRC</v>
      </c>
      <c r="M11" s="56" t="str">
        <f t="shared" si="1"/>
        <v>斎藤　大輔</v>
      </c>
    </row>
    <row r="12" spans="1:13" ht="18" customHeight="1" x14ac:dyDescent="0.15">
      <c r="B12" s="71">
        <v>6</v>
      </c>
      <c r="C12" s="72" t="str">
        <f t="shared" si="2"/>
        <v>WRC</v>
      </c>
      <c r="D12" s="73" t="str">
        <f>IF(【準備】登録!$S$11="","",【準備】登録!$S$11)</f>
        <v>大迫　忠典</v>
      </c>
      <c r="E12" s="74"/>
      <c r="F12" s="75">
        <v>11</v>
      </c>
      <c r="G12" s="76" t="s">
        <v>124</v>
      </c>
      <c r="H12" s="74"/>
      <c r="I12" s="77" t="str">
        <f>IF(【準備】登録!$S$13="","",【準備】登録!$S$13)</f>
        <v>大橋　正寛</v>
      </c>
      <c r="J12" s="78" t="str">
        <f t="shared" si="3"/>
        <v>SBC</v>
      </c>
      <c r="L12" s="56" t="str">
        <f t="shared" si="0"/>
        <v>NRC</v>
      </c>
      <c r="M12" s="56" t="str">
        <f t="shared" si="1"/>
        <v>長谷川　進</v>
      </c>
    </row>
    <row r="13" spans="1:13" ht="18" customHeight="1" thickBot="1" x14ac:dyDescent="0.2">
      <c r="B13" s="71">
        <v>7</v>
      </c>
      <c r="C13" s="72" t="str">
        <f t="shared" si="2"/>
        <v>WRC</v>
      </c>
      <c r="D13" s="73" t="str">
        <f>IF(【準備】登録!$V$11="","",【準備】登録!$V$11)</f>
        <v>松房　ゆかり</v>
      </c>
      <c r="E13" s="74"/>
      <c r="F13" s="75" t="s">
        <v>124</v>
      </c>
      <c r="G13" s="76">
        <v>69</v>
      </c>
      <c r="H13" s="74"/>
      <c r="I13" s="77" t="str">
        <f>IF(【準備】登録!$V$13="","",【準備】登録!$V$13)</f>
        <v>大橋　洋子</v>
      </c>
      <c r="J13" s="78" t="str">
        <f t="shared" si="3"/>
        <v>SBC</v>
      </c>
      <c r="L13" s="56" t="str">
        <f t="shared" si="0"/>
        <v>NRC</v>
      </c>
      <c r="M13" s="56" t="str">
        <f t="shared" si="1"/>
        <v>白戸　恭子</v>
      </c>
    </row>
    <row r="14" spans="1:13" ht="18" hidden="1" customHeight="1" x14ac:dyDescent="0.15">
      <c r="B14" s="79" t="str">
        <f>IF(D14="","",8)</f>
        <v/>
      </c>
      <c r="C14" s="80" t="str">
        <f t="shared" si="2"/>
        <v>WRC</v>
      </c>
      <c r="D14" s="81" t="str">
        <f>IF(【準備】登録!$Y$11="","",【準備】登録!Y11)</f>
        <v/>
      </c>
      <c r="E14" s="82"/>
      <c r="F14" s="83"/>
      <c r="G14" s="84"/>
      <c r="H14" s="82"/>
      <c r="I14" s="85" t="str">
        <f>IF(【準備】登録!$Y$13="","",【準備】登録!Y13)</f>
        <v/>
      </c>
      <c r="J14" s="86" t="str">
        <f t="shared" si="3"/>
        <v>SBC</v>
      </c>
      <c r="L14" s="56" t="str">
        <f t="shared" si="0"/>
        <v>NRC</v>
      </c>
      <c r="M14" s="56" t="str">
        <f t="shared" si="1"/>
        <v/>
      </c>
    </row>
    <row r="15" spans="1:13" ht="18" customHeight="1" x14ac:dyDescent="0.15">
      <c r="B15" s="87">
        <f>IF(D14="",8,9)</f>
        <v>8</v>
      </c>
      <c r="C15" s="88" t="str">
        <f t="shared" si="2"/>
        <v>WRC</v>
      </c>
      <c r="D15" s="89" t="str">
        <f t="shared" ref="D15:D22" si="4">D7</f>
        <v>森田　憲</v>
      </c>
      <c r="E15" s="90"/>
      <c r="F15" s="67" t="s">
        <v>124</v>
      </c>
      <c r="G15" s="91">
        <v>175</v>
      </c>
      <c r="H15" s="90"/>
      <c r="I15" s="92" t="str">
        <f>IF(【準備】登録!$D$12="","",【準備】登録!$D$12)</f>
        <v>白戸　玲人</v>
      </c>
      <c r="J15" s="93" t="str">
        <f t="shared" ref="J15:J22" si="5">$C$23</f>
        <v>NRC</v>
      </c>
      <c r="K15" s="94"/>
      <c r="L15" s="56" t="str">
        <f t="shared" ref="L15:L22" si="6">J7</f>
        <v>SBC</v>
      </c>
      <c r="M15" s="56" t="str">
        <f t="shared" ref="M15:M22" si="7">I7</f>
        <v>大橋　義治</v>
      </c>
    </row>
    <row r="16" spans="1:13" ht="18" customHeight="1" x14ac:dyDescent="0.15">
      <c r="B16" s="71">
        <f t="shared" ref="B16:B21" si="8">B15+1</f>
        <v>9</v>
      </c>
      <c r="C16" s="72" t="str">
        <f t="shared" si="2"/>
        <v>WRC</v>
      </c>
      <c r="D16" s="73" t="str">
        <f t="shared" si="4"/>
        <v>和田　宗一郎</v>
      </c>
      <c r="E16" s="74"/>
      <c r="F16" s="75">
        <v>31</v>
      </c>
      <c r="G16" s="76" t="s">
        <v>124</v>
      </c>
      <c r="H16" s="74"/>
      <c r="I16" s="77" t="str">
        <f>IF(【準備】登録!$G$12="","",【準備】登録!$G$12)</f>
        <v>吉向　翔平</v>
      </c>
      <c r="J16" s="78" t="str">
        <f t="shared" si="5"/>
        <v>NRC</v>
      </c>
      <c r="K16" s="94"/>
      <c r="L16" s="56" t="str">
        <f t="shared" si="6"/>
        <v>SBC</v>
      </c>
      <c r="M16" s="56" t="str">
        <f t="shared" si="7"/>
        <v>林　秀忠</v>
      </c>
    </row>
    <row r="17" spans="1:13" ht="18" customHeight="1" x14ac:dyDescent="0.15">
      <c r="B17" s="71">
        <f t="shared" si="8"/>
        <v>10</v>
      </c>
      <c r="C17" s="72" t="str">
        <f t="shared" si="2"/>
        <v>WRC</v>
      </c>
      <c r="D17" s="73" t="str">
        <f t="shared" si="4"/>
        <v>杉本　博章</v>
      </c>
      <c r="E17" s="74"/>
      <c r="F17" s="75" t="s">
        <v>124</v>
      </c>
      <c r="G17" s="76">
        <v>15</v>
      </c>
      <c r="H17" s="74"/>
      <c r="I17" s="77" t="str">
        <f>IF(【準備】登録!$J$12="","",【準備】登録!$J$12)</f>
        <v>植田　慎也</v>
      </c>
      <c r="J17" s="78" t="str">
        <f t="shared" si="5"/>
        <v>NRC</v>
      </c>
      <c r="K17" s="94"/>
      <c r="L17" s="56" t="str">
        <f t="shared" si="6"/>
        <v>SBC</v>
      </c>
      <c r="M17" s="56" t="str">
        <f t="shared" si="7"/>
        <v>西峰　久祐</v>
      </c>
    </row>
    <row r="18" spans="1:13" ht="18" customHeight="1" x14ac:dyDescent="0.15">
      <c r="B18" s="71">
        <f t="shared" si="8"/>
        <v>11</v>
      </c>
      <c r="C18" s="72" t="str">
        <f t="shared" si="2"/>
        <v>WRC</v>
      </c>
      <c r="D18" s="73" t="str">
        <f t="shared" si="4"/>
        <v>末岡　修</v>
      </c>
      <c r="E18" s="74"/>
      <c r="F18" s="75">
        <v>71</v>
      </c>
      <c r="G18" s="76" t="s">
        <v>124</v>
      </c>
      <c r="H18" s="74"/>
      <c r="I18" s="77" t="str">
        <f>IF(【準備】登録!$M$12="","",【準備】登録!$M$12)</f>
        <v>岩本　剛</v>
      </c>
      <c r="J18" s="78" t="str">
        <f t="shared" si="5"/>
        <v>NRC</v>
      </c>
      <c r="L18" s="56" t="str">
        <f t="shared" si="6"/>
        <v>SBC</v>
      </c>
      <c r="M18" s="56" t="str">
        <f t="shared" si="7"/>
        <v>山中　康裕</v>
      </c>
    </row>
    <row r="19" spans="1:13" ht="18" customHeight="1" x14ac:dyDescent="0.15">
      <c r="B19" s="71">
        <f t="shared" si="8"/>
        <v>12</v>
      </c>
      <c r="C19" s="72" t="str">
        <f t="shared" si="2"/>
        <v>WRC</v>
      </c>
      <c r="D19" s="73" t="str">
        <f t="shared" si="4"/>
        <v>中本　雅大</v>
      </c>
      <c r="E19" s="74"/>
      <c r="F19" s="95" t="s">
        <v>125</v>
      </c>
      <c r="G19" s="76">
        <v>126</v>
      </c>
      <c r="H19" s="74"/>
      <c r="I19" s="77" t="str">
        <f>IF(【準備】登録!$P$12="","",【準備】登録!$P$12)</f>
        <v>斎藤　大輔</v>
      </c>
      <c r="J19" s="78" t="str">
        <f t="shared" si="5"/>
        <v>NRC</v>
      </c>
      <c r="K19" s="94"/>
      <c r="L19" s="56" t="str">
        <f t="shared" si="6"/>
        <v>SBC</v>
      </c>
      <c r="M19" s="56" t="str">
        <f t="shared" si="7"/>
        <v>柳川　哲也</v>
      </c>
    </row>
    <row r="20" spans="1:13" ht="18" customHeight="1" x14ac:dyDescent="0.15">
      <c r="B20" s="71">
        <f t="shared" si="8"/>
        <v>13</v>
      </c>
      <c r="C20" s="72" t="str">
        <f t="shared" si="2"/>
        <v>WRC</v>
      </c>
      <c r="D20" s="73" t="str">
        <f t="shared" si="4"/>
        <v>大迫　忠典</v>
      </c>
      <c r="E20" s="74"/>
      <c r="F20" s="75">
        <v>152</v>
      </c>
      <c r="G20" s="76" t="s">
        <v>124</v>
      </c>
      <c r="H20" s="74"/>
      <c r="I20" s="77" t="str">
        <f>IF(【準備】登録!$S$12="","",【準備】登録!$S$12)</f>
        <v>長谷川　進</v>
      </c>
      <c r="J20" s="78" t="str">
        <f t="shared" si="5"/>
        <v>NRC</v>
      </c>
      <c r="L20" s="56" t="str">
        <f t="shared" si="6"/>
        <v>SBC</v>
      </c>
      <c r="M20" s="56" t="str">
        <f t="shared" si="7"/>
        <v>大橋　正寛</v>
      </c>
    </row>
    <row r="21" spans="1:13" ht="18" customHeight="1" thickBot="1" x14ac:dyDescent="0.2">
      <c r="B21" s="71">
        <f t="shared" si="8"/>
        <v>14</v>
      </c>
      <c r="C21" s="72" t="str">
        <f t="shared" si="2"/>
        <v>WRC</v>
      </c>
      <c r="D21" s="73" t="str">
        <f t="shared" si="4"/>
        <v>松房　ゆかり</v>
      </c>
      <c r="E21" s="74"/>
      <c r="F21" s="75" t="s">
        <v>124</v>
      </c>
      <c r="G21" s="76">
        <v>59</v>
      </c>
      <c r="H21" s="74"/>
      <c r="I21" s="77" t="str">
        <f>IF(【準備】登録!$V$12="","",【準備】登録!$V$12)</f>
        <v>白戸　恭子</v>
      </c>
      <c r="J21" s="78" t="str">
        <f t="shared" si="5"/>
        <v>NRC</v>
      </c>
      <c r="L21" s="56" t="str">
        <f t="shared" si="6"/>
        <v>SBC</v>
      </c>
      <c r="M21" s="56" t="str">
        <f t="shared" si="7"/>
        <v>大橋　洋子</v>
      </c>
    </row>
    <row r="22" spans="1:13" ht="18" hidden="1" customHeight="1" x14ac:dyDescent="0.15">
      <c r="B22" s="79" t="str">
        <f>IF(D22="","",B21+1)</f>
        <v/>
      </c>
      <c r="C22" s="80" t="str">
        <f t="shared" si="2"/>
        <v>WRC</v>
      </c>
      <c r="D22" s="81" t="str">
        <f t="shared" si="4"/>
        <v/>
      </c>
      <c r="E22" s="82"/>
      <c r="F22" s="83"/>
      <c r="G22" s="84"/>
      <c r="H22" s="82"/>
      <c r="I22" s="85" t="str">
        <f>IF(【準備】登録!$Y$12="","",【準備】登録!Y12)</f>
        <v/>
      </c>
      <c r="J22" s="96" t="str">
        <f t="shared" si="5"/>
        <v>NRC</v>
      </c>
      <c r="L22" s="56" t="str">
        <f t="shared" si="6"/>
        <v>SBC</v>
      </c>
      <c r="M22" s="56" t="str">
        <f t="shared" si="7"/>
        <v/>
      </c>
    </row>
    <row r="23" spans="1:13" ht="18" customHeight="1" x14ac:dyDescent="0.15">
      <c r="B23" s="87">
        <f>IF(D22="",B21+1,B22+1)</f>
        <v>15</v>
      </c>
      <c r="C23" s="88" t="str">
        <f>IF(【準備】登録!B12="","",【準備】登録!B12)</f>
        <v>NRC</v>
      </c>
      <c r="D23" s="89" t="str">
        <f t="shared" ref="D23:D30" si="9">I15</f>
        <v>白戸　玲人</v>
      </c>
      <c r="E23" s="90"/>
      <c r="F23" s="67">
        <v>78</v>
      </c>
      <c r="G23" s="97" t="s">
        <v>124</v>
      </c>
      <c r="H23" s="90"/>
      <c r="I23" s="92" t="str">
        <f t="shared" ref="I23:I30" si="10">I7</f>
        <v>大橋　義治</v>
      </c>
      <c r="J23" s="93" t="str">
        <f t="shared" ref="J23:J38" si="11">$J$7</f>
        <v>SBC</v>
      </c>
      <c r="K23" s="94"/>
      <c r="L23" s="56" t="str">
        <f t="shared" ref="L23:L30" si="12">C7</f>
        <v>WRC</v>
      </c>
      <c r="M23" s="56" t="str">
        <f t="shared" ref="M23:M30" si="13">D15</f>
        <v>森田　憲</v>
      </c>
    </row>
    <row r="24" spans="1:13" ht="18" customHeight="1" x14ac:dyDescent="0.15">
      <c r="B24" s="71">
        <f t="shared" ref="B24:B29" si="14">B23+1</f>
        <v>16</v>
      </c>
      <c r="C24" s="72" t="str">
        <f t="shared" ref="C24:C30" si="15">$C$23</f>
        <v>NRC</v>
      </c>
      <c r="D24" s="73" t="str">
        <f t="shared" si="9"/>
        <v>吉向　翔平</v>
      </c>
      <c r="E24" s="74"/>
      <c r="F24" s="75" t="s">
        <v>124</v>
      </c>
      <c r="G24" s="76">
        <v>153</v>
      </c>
      <c r="H24" s="74"/>
      <c r="I24" s="77" t="str">
        <f t="shared" si="10"/>
        <v>林　秀忠</v>
      </c>
      <c r="J24" s="78" t="str">
        <f t="shared" si="11"/>
        <v>SBC</v>
      </c>
      <c r="L24" s="56" t="str">
        <f t="shared" si="12"/>
        <v>WRC</v>
      </c>
      <c r="M24" s="56" t="str">
        <f t="shared" si="13"/>
        <v>和田　宗一郎</v>
      </c>
    </row>
    <row r="25" spans="1:13" ht="18" customHeight="1" x14ac:dyDescent="0.15">
      <c r="B25" s="71">
        <f t="shared" si="14"/>
        <v>17</v>
      </c>
      <c r="C25" s="72" t="str">
        <f t="shared" si="15"/>
        <v>NRC</v>
      </c>
      <c r="D25" s="73" t="str">
        <f t="shared" si="9"/>
        <v>植田　慎也</v>
      </c>
      <c r="E25" s="74"/>
      <c r="F25" s="75">
        <v>65</v>
      </c>
      <c r="G25" s="76" t="s">
        <v>124</v>
      </c>
      <c r="H25" s="74"/>
      <c r="I25" s="77" t="str">
        <f t="shared" si="10"/>
        <v>西峰　久祐</v>
      </c>
      <c r="J25" s="78" t="str">
        <f t="shared" si="11"/>
        <v>SBC</v>
      </c>
      <c r="K25" s="94"/>
      <c r="L25" s="56" t="str">
        <f t="shared" si="12"/>
        <v>WRC</v>
      </c>
      <c r="M25" s="56" t="str">
        <f t="shared" si="13"/>
        <v>杉本　博章</v>
      </c>
    </row>
    <row r="26" spans="1:13" ht="18" customHeight="1" x14ac:dyDescent="0.15">
      <c r="B26" s="71">
        <f t="shared" si="14"/>
        <v>18</v>
      </c>
      <c r="C26" s="72" t="str">
        <f t="shared" si="15"/>
        <v>NRC</v>
      </c>
      <c r="D26" s="73" t="str">
        <f t="shared" si="9"/>
        <v>岩本　剛</v>
      </c>
      <c r="E26" s="74"/>
      <c r="F26" s="75">
        <v>131</v>
      </c>
      <c r="G26" s="76" t="s">
        <v>124</v>
      </c>
      <c r="H26" s="74"/>
      <c r="I26" s="77" t="str">
        <f t="shared" si="10"/>
        <v>山中　康裕</v>
      </c>
      <c r="J26" s="78" t="str">
        <f t="shared" si="11"/>
        <v>SBC</v>
      </c>
      <c r="L26" s="56" t="str">
        <f t="shared" si="12"/>
        <v>WRC</v>
      </c>
      <c r="M26" s="56" t="str">
        <f t="shared" si="13"/>
        <v>末岡　修</v>
      </c>
    </row>
    <row r="27" spans="1:13" ht="18" customHeight="1" x14ac:dyDescent="0.15">
      <c r="B27" s="71">
        <f t="shared" si="14"/>
        <v>19</v>
      </c>
      <c r="C27" s="72" t="str">
        <f t="shared" si="15"/>
        <v>NRC</v>
      </c>
      <c r="D27" s="73" t="str">
        <f t="shared" si="9"/>
        <v>斎藤　大輔</v>
      </c>
      <c r="E27" s="74"/>
      <c r="F27" s="75">
        <v>126</v>
      </c>
      <c r="G27" s="76" t="s">
        <v>124</v>
      </c>
      <c r="H27" s="74"/>
      <c r="I27" s="77" t="str">
        <f t="shared" si="10"/>
        <v>柳川　哲也</v>
      </c>
      <c r="J27" s="78" t="str">
        <f t="shared" si="11"/>
        <v>SBC</v>
      </c>
      <c r="K27" s="94"/>
      <c r="L27" s="56" t="str">
        <f t="shared" si="12"/>
        <v>WRC</v>
      </c>
      <c r="M27" s="56" t="str">
        <f t="shared" si="13"/>
        <v>中本　雅大</v>
      </c>
    </row>
    <row r="28" spans="1:13" ht="18" customHeight="1" x14ac:dyDescent="0.15">
      <c r="B28" s="71">
        <f t="shared" si="14"/>
        <v>20</v>
      </c>
      <c r="C28" s="72" t="str">
        <f t="shared" si="15"/>
        <v>NRC</v>
      </c>
      <c r="D28" s="73" t="str">
        <f t="shared" si="9"/>
        <v>長谷川　進</v>
      </c>
      <c r="E28" s="74"/>
      <c r="F28" s="75">
        <v>20</v>
      </c>
      <c r="G28" s="76" t="s">
        <v>124</v>
      </c>
      <c r="H28" s="74">
        <v>120</v>
      </c>
      <c r="I28" s="77" t="str">
        <f t="shared" si="10"/>
        <v>大橋　正寛</v>
      </c>
      <c r="J28" s="78" t="str">
        <f t="shared" si="11"/>
        <v>SBC</v>
      </c>
      <c r="L28" s="56" t="str">
        <f t="shared" si="12"/>
        <v>WRC</v>
      </c>
      <c r="M28" s="56" t="str">
        <f t="shared" si="13"/>
        <v>大迫　忠典</v>
      </c>
    </row>
    <row r="29" spans="1:13" ht="18" customHeight="1" thickBot="1" x14ac:dyDescent="0.2">
      <c r="B29" s="71">
        <f t="shared" si="14"/>
        <v>21</v>
      </c>
      <c r="C29" s="72" t="str">
        <f t="shared" si="15"/>
        <v>NRC</v>
      </c>
      <c r="D29" s="73" t="str">
        <f t="shared" si="9"/>
        <v>白戸　恭子</v>
      </c>
      <c r="E29" s="74"/>
      <c r="F29" s="75" t="s">
        <v>124</v>
      </c>
      <c r="G29" s="76">
        <v>59</v>
      </c>
      <c r="H29" s="74"/>
      <c r="I29" s="77" t="str">
        <f t="shared" si="10"/>
        <v>大橋　洋子</v>
      </c>
      <c r="J29" s="78" t="str">
        <f t="shared" si="11"/>
        <v>SBC</v>
      </c>
      <c r="K29" s="94"/>
      <c r="L29" s="56" t="str">
        <f t="shared" si="12"/>
        <v>WRC</v>
      </c>
      <c r="M29" s="56" t="str">
        <f t="shared" si="13"/>
        <v>松房　ゆかり</v>
      </c>
    </row>
    <row r="30" spans="1:13" ht="18" hidden="1" customHeight="1" x14ac:dyDescent="0.15">
      <c r="B30" s="79" t="str">
        <f>IF(D30="","",B29+1)</f>
        <v/>
      </c>
      <c r="C30" s="80" t="str">
        <f t="shared" si="15"/>
        <v>NRC</v>
      </c>
      <c r="D30" s="81" t="str">
        <f t="shared" si="9"/>
        <v/>
      </c>
      <c r="E30" s="82"/>
      <c r="F30" s="83"/>
      <c r="G30" s="84"/>
      <c r="H30" s="82"/>
      <c r="I30" s="85" t="str">
        <f t="shared" si="10"/>
        <v/>
      </c>
      <c r="J30" s="96" t="str">
        <f t="shared" si="11"/>
        <v>SBC</v>
      </c>
      <c r="L30" s="56" t="str">
        <f t="shared" si="12"/>
        <v>WRC</v>
      </c>
      <c r="M30" s="56" t="str">
        <f t="shared" si="13"/>
        <v/>
      </c>
    </row>
    <row r="31" spans="1:13" ht="18" customHeight="1" x14ac:dyDescent="0.15">
      <c r="A31" s="54" t="s">
        <v>60</v>
      </c>
      <c r="B31" s="87">
        <f>IF(D30="",B29+1,B30+1)</f>
        <v>22</v>
      </c>
      <c r="C31" s="88" t="str">
        <f t="shared" ref="C31:C46" si="16">$C$7</f>
        <v>WRC</v>
      </c>
      <c r="D31" s="89" t="str">
        <f t="shared" ref="D31:D38" si="17">D39</f>
        <v>大迫　忠典</v>
      </c>
      <c r="E31" s="90"/>
      <c r="F31" s="67">
        <v>10</v>
      </c>
      <c r="G31" s="91" t="s">
        <v>125</v>
      </c>
      <c r="H31" s="90">
        <v>110</v>
      </c>
      <c r="I31" s="92" t="str">
        <f>IF(【準備】登録!$D$13="","",【準備】登録!$D$13)</f>
        <v>大橋　義治</v>
      </c>
      <c r="J31" s="93" t="str">
        <f t="shared" si="11"/>
        <v>SBC</v>
      </c>
      <c r="K31" s="94"/>
      <c r="L31" s="56" t="str">
        <f t="shared" ref="L31:L38" si="18">J39</f>
        <v>NRC</v>
      </c>
      <c r="M31" s="56" t="str">
        <f t="shared" ref="M31:M38" si="19">I39</f>
        <v>白戸　恭子</v>
      </c>
    </row>
    <row r="32" spans="1:13" ht="18" customHeight="1" x14ac:dyDescent="0.15">
      <c r="B32" s="71">
        <f t="shared" ref="B32:B37" si="20">B31+1</f>
        <v>23</v>
      </c>
      <c r="C32" s="72" t="str">
        <f t="shared" si="16"/>
        <v>WRC</v>
      </c>
      <c r="D32" s="73" t="str">
        <f t="shared" si="17"/>
        <v>松房　ゆかり</v>
      </c>
      <c r="E32" s="74">
        <v>110</v>
      </c>
      <c r="F32" s="75" t="s">
        <v>124</v>
      </c>
      <c r="G32" s="76">
        <v>103</v>
      </c>
      <c r="H32" s="74"/>
      <c r="I32" s="77" t="str">
        <f>IF(【準備】登録!$G$13="","",【準備】登録!$G$13)</f>
        <v>林　秀忠</v>
      </c>
      <c r="J32" s="78" t="str">
        <f t="shared" si="11"/>
        <v>SBC</v>
      </c>
      <c r="K32" s="94"/>
      <c r="L32" s="56" t="str">
        <f t="shared" si="18"/>
        <v>NRC</v>
      </c>
      <c r="M32" s="56" t="str">
        <f t="shared" si="19"/>
        <v>白戸　玲人</v>
      </c>
    </row>
    <row r="33" spans="2:15" ht="18" customHeight="1" x14ac:dyDescent="0.15">
      <c r="B33" s="71">
        <f t="shared" si="20"/>
        <v>24</v>
      </c>
      <c r="C33" s="72" t="str">
        <f t="shared" si="16"/>
        <v>WRC</v>
      </c>
      <c r="D33" s="73" t="str">
        <f t="shared" si="17"/>
        <v>森田　憲</v>
      </c>
      <c r="E33" s="74"/>
      <c r="F33" s="75">
        <v>66</v>
      </c>
      <c r="G33" s="76" t="s">
        <v>124</v>
      </c>
      <c r="H33" s="74"/>
      <c r="I33" s="77" t="str">
        <f>IF(【準備】登録!$J$13="","",【準備】登録!$J$13)</f>
        <v>西峰　久祐</v>
      </c>
      <c r="J33" s="78" t="str">
        <f t="shared" si="11"/>
        <v>SBC</v>
      </c>
      <c r="L33" s="56" t="str">
        <f t="shared" si="18"/>
        <v>NRC</v>
      </c>
      <c r="M33" s="56" t="str">
        <f t="shared" si="19"/>
        <v>吉向　翔平</v>
      </c>
      <c r="O33" s="98"/>
    </row>
    <row r="34" spans="2:15" ht="18" customHeight="1" x14ac:dyDescent="0.15">
      <c r="B34" s="71">
        <f t="shared" si="20"/>
        <v>25</v>
      </c>
      <c r="C34" s="72" t="str">
        <f t="shared" si="16"/>
        <v>WRC</v>
      </c>
      <c r="D34" s="73" t="str">
        <f t="shared" si="17"/>
        <v>和田　宗一郎</v>
      </c>
      <c r="E34" s="74"/>
      <c r="F34" s="75">
        <v>137</v>
      </c>
      <c r="G34" s="99" t="s">
        <v>124</v>
      </c>
      <c r="H34" s="74">
        <v>105</v>
      </c>
      <c r="I34" s="77" t="str">
        <f>IF(【準備】登録!$M$13="","",【準備】登録!$M$13)</f>
        <v>山中　康裕</v>
      </c>
      <c r="J34" s="78" t="str">
        <f t="shared" si="11"/>
        <v>SBC</v>
      </c>
      <c r="K34" s="94"/>
      <c r="L34" s="56" t="str">
        <f t="shared" si="18"/>
        <v>NRC</v>
      </c>
      <c r="M34" s="56" t="str">
        <f t="shared" si="19"/>
        <v>植田　慎也</v>
      </c>
    </row>
    <row r="35" spans="2:15" ht="18" customHeight="1" x14ac:dyDescent="0.15">
      <c r="B35" s="71">
        <f t="shared" si="20"/>
        <v>26</v>
      </c>
      <c r="C35" s="72" t="str">
        <f t="shared" si="16"/>
        <v>WRC</v>
      </c>
      <c r="D35" s="73" t="str">
        <f t="shared" si="17"/>
        <v>杉本　博章</v>
      </c>
      <c r="E35" s="74"/>
      <c r="F35" s="75" t="s">
        <v>124</v>
      </c>
      <c r="G35" s="76">
        <v>47</v>
      </c>
      <c r="H35" s="74"/>
      <c r="I35" s="77" t="str">
        <f>IF(【準備】登録!$P$13="","",【準備】登録!$P$13)</f>
        <v>柳川　哲也</v>
      </c>
      <c r="J35" s="78" t="str">
        <f t="shared" si="11"/>
        <v>SBC</v>
      </c>
      <c r="K35" s="94"/>
      <c r="L35" s="56" t="str">
        <f t="shared" si="18"/>
        <v>NRC</v>
      </c>
      <c r="M35" s="56" t="str">
        <f t="shared" si="19"/>
        <v>岩本　剛</v>
      </c>
    </row>
    <row r="36" spans="2:15" ht="18" customHeight="1" x14ac:dyDescent="0.15">
      <c r="B36" s="71">
        <f t="shared" si="20"/>
        <v>27</v>
      </c>
      <c r="C36" s="72" t="str">
        <f t="shared" si="16"/>
        <v>WRC</v>
      </c>
      <c r="D36" s="73" t="str">
        <f t="shared" si="17"/>
        <v>末岡　修</v>
      </c>
      <c r="E36" s="74"/>
      <c r="F36" s="75">
        <v>105</v>
      </c>
      <c r="G36" s="76" t="s">
        <v>124</v>
      </c>
      <c r="H36" s="74"/>
      <c r="I36" s="77" t="str">
        <f>IF(【準備】登録!$S$13="","",【準備】登録!$S$13)</f>
        <v>大橋　正寛</v>
      </c>
      <c r="J36" s="78" t="str">
        <f t="shared" si="11"/>
        <v>SBC</v>
      </c>
      <c r="K36" s="94"/>
      <c r="L36" s="56" t="str">
        <f t="shared" si="18"/>
        <v>NRC</v>
      </c>
      <c r="M36" s="56" t="str">
        <f t="shared" si="19"/>
        <v>斎藤　大輔</v>
      </c>
    </row>
    <row r="37" spans="2:15" ht="18" customHeight="1" thickBot="1" x14ac:dyDescent="0.2">
      <c r="B37" s="71">
        <f t="shared" si="20"/>
        <v>28</v>
      </c>
      <c r="C37" s="72" t="str">
        <f t="shared" si="16"/>
        <v>WRC</v>
      </c>
      <c r="D37" s="73" t="str">
        <f t="shared" si="17"/>
        <v>中本　雅大</v>
      </c>
      <c r="E37" s="74"/>
      <c r="F37" s="75" t="s">
        <v>124</v>
      </c>
      <c r="G37" s="99">
        <v>23</v>
      </c>
      <c r="H37" s="74"/>
      <c r="I37" s="77" t="str">
        <f>IF(【準備】登録!$V$13="","",【準備】登録!$V$13)</f>
        <v>大橋　洋子</v>
      </c>
      <c r="J37" s="78" t="str">
        <f t="shared" si="11"/>
        <v>SBC</v>
      </c>
      <c r="K37" s="94"/>
      <c r="L37" s="56" t="str">
        <f t="shared" si="18"/>
        <v>NRC</v>
      </c>
      <c r="M37" s="56" t="str">
        <f t="shared" si="19"/>
        <v>長谷川　進</v>
      </c>
    </row>
    <row r="38" spans="2:15" ht="18" hidden="1" customHeight="1" x14ac:dyDescent="0.15">
      <c r="B38" s="79" t="str">
        <f>IF(D46="","",B37+1)</f>
        <v/>
      </c>
      <c r="C38" s="80" t="str">
        <f t="shared" si="16"/>
        <v>WRC</v>
      </c>
      <c r="D38" s="81" t="str">
        <f t="shared" si="17"/>
        <v/>
      </c>
      <c r="E38" s="82"/>
      <c r="F38" s="83"/>
      <c r="G38" s="84"/>
      <c r="H38" s="82"/>
      <c r="I38" s="85" t="str">
        <f>IF(【準備】登録!Y13="","",【準備】登録!$Y$13)</f>
        <v/>
      </c>
      <c r="J38" s="96" t="str">
        <f t="shared" si="11"/>
        <v>SBC</v>
      </c>
      <c r="L38" s="56" t="str">
        <f t="shared" si="18"/>
        <v>NRC</v>
      </c>
      <c r="M38" s="56" t="str">
        <f t="shared" si="19"/>
        <v/>
      </c>
    </row>
    <row r="39" spans="2:15" ht="18" customHeight="1" x14ac:dyDescent="0.15">
      <c r="B39" s="87">
        <f>IF(D46="",B37+1,B38+1)</f>
        <v>29</v>
      </c>
      <c r="C39" s="88" t="str">
        <f t="shared" si="16"/>
        <v>WRC</v>
      </c>
      <c r="D39" s="89" t="str">
        <f>IF($D$7="","",IF(【準備】登録!Y11="",【準備】登録!S11,【準備】登録!$V$11))</f>
        <v>大迫　忠典</v>
      </c>
      <c r="E39" s="90"/>
      <c r="F39" s="67">
        <v>116</v>
      </c>
      <c r="G39" s="91" t="s">
        <v>124</v>
      </c>
      <c r="H39" s="90"/>
      <c r="I39" s="92" t="str">
        <f>IF($D$7="","",IF(【準備】登録!Y12="",【準備】登録!V12,【準備】登録!$Y$12))</f>
        <v>白戸　恭子</v>
      </c>
      <c r="J39" s="93" t="str">
        <f t="shared" ref="J39:J46" si="21">$C$23</f>
        <v>NRC</v>
      </c>
      <c r="K39" s="94"/>
      <c r="L39" s="56" t="str">
        <f t="shared" ref="L39:L46" si="22">J31</f>
        <v>SBC</v>
      </c>
      <c r="M39" s="56" t="str">
        <f t="shared" ref="M39:M46" si="23">I31</f>
        <v>大橋　義治</v>
      </c>
    </row>
    <row r="40" spans="2:15" ht="18" customHeight="1" x14ac:dyDescent="0.15">
      <c r="B40" s="71">
        <f t="shared" ref="B40:B45" si="24">B39+1</f>
        <v>30</v>
      </c>
      <c r="C40" s="72" t="str">
        <f t="shared" si="16"/>
        <v>WRC</v>
      </c>
      <c r="D40" s="73" t="str">
        <f>IF($D$7="","",IF(【準備】登録!$Y$11="",【準備】登録!V11,【準備】登録!Y11))</f>
        <v>松房　ゆかり</v>
      </c>
      <c r="E40" s="74"/>
      <c r="F40" s="95">
        <v>52</v>
      </c>
      <c r="G40" s="76" t="s">
        <v>126</v>
      </c>
      <c r="H40" s="34"/>
      <c r="I40" s="77" t="str">
        <f>IF($D$7="","",【準備】登録!$D$12)</f>
        <v>白戸　玲人</v>
      </c>
      <c r="J40" s="78" t="str">
        <f t="shared" si="21"/>
        <v>NRC</v>
      </c>
      <c r="K40" s="94"/>
      <c r="L40" s="56" t="str">
        <f t="shared" si="22"/>
        <v>SBC</v>
      </c>
      <c r="M40" s="56" t="str">
        <f t="shared" si="23"/>
        <v>林　秀忠</v>
      </c>
    </row>
    <row r="41" spans="2:15" ht="18" customHeight="1" x14ac:dyDescent="0.15">
      <c r="B41" s="71">
        <f t="shared" si="24"/>
        <v>31</v>
      </c>
      <c r="C41" s="72" t="str">
        <f t="shared" si="16"/>
        <v>WRC</v>
      </c>
      <c r="D41" s="73" t="str">
        <f>IF($D$7="","",【準備】登録!$D$11)</f>
        <v>森田　憲</v>
      </c>
      <c r="E41" s="74"/>
      <c r="F41" s="75" t="s">
        <v>124</v>
      </c>
      <c r="G41" s="76">
        <v>103</v>
      </c>
      <c r="H41" s="34"/>
      <c r="I41" s="77" t="str">
        <f>IF($D$7="","",【準備】登録!$G$12)</f>
        <v>吉向　翔平</v>
      </c>
      <c r="J41" s="78" t="str">
        <f t="shared" si="21"/>
        <v>NRC</v>
      </c>
      <c r="K41" s="94"/>
      <c r="L41" s="56" t="str">
        <f t="shared" si="22"/>
        <v>SBC</v>
      </c>
      <c r="M41" s="56" t="str">
        <f t="shared" si="23"/>
        <v>西峰　久祐</v>
      </c>
    </row>
    <row r="42" spans="2:15" ht="18" customHeight="1" x14ac:dyDescent="0.15">
      <c r="B42" s="71">
        <f t="shared" si="24"/>
        <v>32</v>
      </c>
      <c r="C42" s="72" t="str">
        <f t="shared" si="16"/>
        <v>WRC</v>
      </c>
      <c r="D42" s="73" t="str">
        <f>IF($D$7="","",【準備】登録!$G$11)</f>
        <v>和田　宗一郎</v>
      </c>
      <c r="E42" s="74"/>
      <c r="F42" s="75" t="s">
        <v>124</v>
      </c>
      <c r="G42" s="76">
        <v>92</v>
      </c>
      <c r="H42" s="74"/>
      <c r="I42" s="77" t="str">
        <f>IF($D$7="","",【準備】登録!$J$12)</f>
        <v>植田　慎也</v>
      </c>
      <c r="J42" s="78" t="str">
        <f t="shared" si="21"/>
        <v>NRC</v>
      </c>
      <c r="K42" s="94"/>
      <c r="L42" s="56" t="str">
        <f t="shared" si="22"/>
        <v>SBC</v>
      </c>
      <c r="M42" s="56" t="str">
        <f t="shared" si="23"/>
        <v>山中　康裕</v>
      </c>
    </row>
    <row r="43" spans="2:15" ht="18" customHeight="1" x14ac:dyDescent="0.15">
      <c r="B43" s="71">
        <f t="shared" si="24"/>
        <v>33</v>
      </c>
      <c r="C43" s="72" t="str">
        <f t="shared" si="16"/>
        <v>WRC</v>
      </c>
      <c r="D43" s="73" t="str">
        <f>IF($D$7="","",【準備】登録!$J$11)</f>
        <v>杉本　博章</v>
      </c>
      <c r="E43" s="74">
        <v>127</v>
      </c>
      <c r="F43" s="75" t="s">
        <v>124</v>
      </c>
      <c r="G43" s="76">
        <v>21</v>
      </c>
      <c r="H43" s="74"/>
      <c r="I43" s="77" t="str">
        <f>IF($D$7="","",【準備】登録!$M$12)</f>
        <v>岩本　剛</v>
      </c>
      <c r="J43" s="78" t="str">
        <f t="shared" si="21"/>
        <v>NRC</v>
      </c>
      <c r="K43" s="94"/>
      <c r="L43" s="56" t="str">
        <f t="shared" si="22"/>
        <v>SBC</v>
      </c>
      <c r="M43" s="56" t="str">
        <f t="shared" si="23"/>
        <v>柳川　哲也</v>
      </c>
    </row>
    <row r="44" spans="2:15" ht="18" customHeight="1" x14ac:dyDescent="0.15">
      <c r="B44" s="71">
        <f t="shared" si="24"/>
        <v>34</v>
      </c>
      <c r="C44" s="72" t="str">
        <f t="shared" si="16"/>
        <v>WRC</v>
      </c>
      <c r="D44" s="73" t="str">
        <f>IF($D$7="","",【準備】登録!$M$11)</f>
        <v>末岡　修</v>
      </c>
      <c r="E44" s="74">
        <v>103</v>
      </c>
      <c r="F44" s="75" t="s">
        <v>124</v>
      </c>
      <c r="G44" s="76">
        <v>46</v>
      </c>
      <c r="H44" s="74"/>
      <c r="I44" s="77" t="str">
        <f>IF($D$7="","",【準備】登録!$P$12)</f>
        <v>斎藤　大輔</v>
      </c>
      <c r="J44" s="78" t="str">
        <f t="shared" si="21"/>
        <v>NRC</v>
      </c>
      <c r="K44" s="94"/>
      <c r="L44" s="56" t="str">
        <f t="shared" si="22"/>
        <v>SBC</v>
      </c>
      <c r="M44" s="56" t="str">
        <f t="shared" si="23"/>
        <v>大橋　正寛</v>
      </c>
    </row>
    <row r="45" spans="2:15" ht="18" customHeight="1" thickBot="1" x14ac:dyDescent="0.2">
      <c r="B45" s="71">
        <f t="shared" si="24"/>
        <v>35</v>
      </c>
      <c r="C45" s="72" t="str">
        <f t="shared" si="16"/>
        <v>WRC</v>
      </c>
      <c r="D45" s="73" t="str">
        <f>IF($D$7="","",【準備】登録!$P$11)</f>
        <v>中本　雅大</v>
      </c>
      <c r="E45" s="74"/>
      <c r="F45" s="75" t="s">
        <v>124</v>
      </c>
      <c r="G45" s="76">
        <v>43</v>
      </c>
      <c r="H45" s="74"/>
      <c r="I45" s="77" t="str">
        <f>IF($D$7="","",【準備】登録!$S$12)</f>
        <v>長谷川　進</v>
      </c>
      <c r="J45" s="78" t="str">
        <f t="shared" si="21"/>
        <v>NRC</v>
      </c>
      <c r="K45" s="94"/>
      <c r="L45" s="56" t="str">
        <f t="shared" si="22"/>
        <v>SBC</v>
      </c>
      <c r="M45" s="56" t="str">
        <f t="shared" si="23"/>
        <v>大橋　洋子</v>
      </c>
    </row>
    <row r="46" spans="2:15" ht="18" hidden="1" customHeight="1" x14ac:dyDescent="0.15">
      <c r="B46" s="79" t="str">
        <f>IF(D38="","",B45+1)</f>
        <v/>
      </c>
      <c r="C46" s="80" t="str">
        <f t="shared" si="16"/>
        <v>WRC</v>
      </c>
      <c r="D46" s="81" t="str">
        <f>IF(【準備】登録!Y11="","",【準備】登録!$S$11)</f>
        <v/>
      </c>
      <c r="E46" s="82"/>
      <c r="F46" s="83"/>
      <c r="G46" s="84"/>
      <c r="H46" s="82"/>
      <c r="I46" s="85" t="str">
        <f>IF(【準備】登録!Y12="","",【準備】登録!$V$12)</f>
        <v/>
      </c>
      <c r="J46" s="96" t="str">
        <f t="shared" si="21"/>
        <v>NRC</v>
      </c>
      <c r="L46" s="56" t="str">
        <f t="shared" si="22"/>
        <v>SBC</v>
      </c>
      <c r="M46" s="56" t="str">
        <f t="shared" si="23"/>
        <v/>
      </c>
    </row>
    <row r="47" spans="2:15" ht="18" customHeight="1" x14ac:dyDescent="0.15">
      <c r="B47" s="87">
        <f>IF(D38="",B45+1,B46+1)</f>
        <v>36</v>
      </c>
      <c r="C47" s="88" t="str">
        <f t="shared" ref="C47:C54" si="25">$C$23</f>
        <v>NRC</v>
      </c>
      <c r="D47" s="89" t="str">
        <f t="shared" ref="D47:D54" si="26">I39</f>
        <v>白戸　恭子</v>
      </c>
      <c r="E47" s="90"/>
      <c r="F47" s="67">
        <v>24</v>
      </c>
      <c r="G47" s="91" t="s">
        <v>124</v>
      </c>
      <c r="H47" s="90"/>
      <c r="I47" s="92" t="str">
        <f t="shared" ref="I47:I54" si="27">I31</f>
        <v>大橋　義治</v>
      </c>
      <c r="J47" s="93" t="str">
        <f t="shared" ref="J47:J62" si="28">$J$7</f>
        <v>SBC</v>
      </c>
      <c r="L47" s="56" t="str">
        <f t="shared" ref="L47:M54" si="29">C39</f>
        <v>WRC</v>
      </c>
      <c r="M47" s="56" t="str">
        <f t="shared" si="29"/>
        <v>大迫　忠典</v>
      </c>
    </row>
    <row r="48" spans="2:15" ht="18" customHeight="1" x14ac:dyDescent="0.15">
      <c r="B48" s="71">
        <f t="shared" ref="B48:B53" si="30">B47+1</f>
        <v>37</v>
      </c>
      <c r="C48" s="72" t="str">
        <f t="shared" si="25"/>
        <v>NRC</v>
      </c>
      <c r="D48" s="73" t="str">
        <f t="shared" si="26"/>
        <v>白戸　玲人</v>
      </c>
      <c r="E48" s="74"/>
      <c r="F48" s="75">
        <v>67</v>
      </c>
      <c r="G48" s="76" t="s">
        <v>124</v>
      </c>
      <c r="H48" s="74"/>
      <c r="I48" s="77" t="str">
        <f t="shared" si="27"/>
        <v>林　秀忠</v>
      </c>
      <c r="J48" s="78" t="str">
        <f t="shared" si="28"/>
        <v>SBC</v>
      </c>
      <c r="L48" s="56" t="str">
        <f t="shared" si="29"/>
        <v>WRC</v>
      </c>
      <c r="M48" s="56" t="str">
        <f t="shared" si="29"/>
        <v>松房　ゆかり</v>
      </c>
    </row>
    <row r="49" spans="1:14" ht="18" customHeight="1" x14ac:dyDescent="0.15">
      <c r="B49" s="71">
        <f t="shared" si="30"/>
        <v>38</v>
      </c>
      <c r="C49" s="72" t="str">
        <f t="shared" si="25"/>
        <v>NRC</v>
      </c>
      <c r="D49" s="73" t="str">
        <f t="shared" si="26"/>
        <v>吉向　翔平</v>
      </c>
      <c r="E49" s="74"/>
      <c r="F49" s="95">
        <v>79</v>
      </c>
      <c r="G49" s="76" t="s">
        <v>124</v>
      </c>
      <c r="H49" s="34"/>
      <c r="I49" s="77" t="str">
        <f t="shared" si="27"/>
        <v>西峰　久祐</v>
      </c>
      <c r="J49" s="78" t="str">
        <f t="shared" si="28"/>
        <v>SBC</v>
      </c>
      <c r="K49" s="94"/>
      <c r="L49" s="56" t="str">
        <f t="shared" si="29"/>
        <v>WRC</v>
      </c>
      <c r="M49" s="56" t="str">
        <f t="shared" si="29"/>
        <v>森田　憲</v>
      </c>
    </row>
    <row r="50" spans="1:14" ht="18" customHeight="1" x14ac:dyDescent="0.15">
      <c r="B50" s="71">
        <f t="shared" si="30"/>
        <v>39</v>
      </c>
      <c r="C50" s="72" t="str">
        <f t="shared" si="25"/>
        <v>NRC</v>
      </c>
      <c r="D50" s="73" t="str">
        <f t="shared" si="26"/>
        <v>植田　慎也</v>
      </c>
      <c r="E50" s="74"/>
      <c r="F50" s="95">
        <v>155</v>
      </c>
      <c r="G50" s="76" t="s">
        <v>125</v>
      </c>
      <c r="H50" s="74"/>
      <c r="I50" s="77" t="str">
        <f t="shared" si="27"/>
        <v>山中　康裕</v>
      </c>
      <c r="J50" s="78" t="str">
        <f t="shared" si="28"/>
        <v>SBC</v>
      </c>
      <c r="K50" s="94"/>
      <c r="L50" s="56" t="str">
        <f t="shared" si="29"/>
        <v>WRC</v>
      </c>
      <c r="M50" s="56" t="str">
        <f t="shared" si="29"/>
        <v>和田　宗一郎</v>
      </c>
    </row>
    <row r="51" spans="1:14" ht="18" customHeight="1" x14ac:dyDescent="0.15">
      <c r="B51" s="71">
        <f t="shared" si="30"/>
        <v>40</v>
      </c>
      <c r="C51" s="72" t="str">
        <f t="shared" si="25"/>
        <v>NRC</v>
      </c>
      <c r="D51" s="73" t="str">
        <f t="shared" si="26"/>
        <v>岩本　剛</v>
      </c>
      <c r="E51" s="74"/>
      <c r="F51" s="75" t="s">
        <v>124</v>
      </c>
      <c r="G51" s="76">
        <v>103</v>
      </c>
      <c r="H51" s="74"/>
      <c r="I51" s="77" t="str">
        <f t="shared" si="27"/>
        <v>柳川　哲也</v>
      </c>
      <c r="J51" s="78" t="str">
        <f t="shared" si="28"/>
        <v>SBC</v>
      </c>
      <c r="K51" s="94"/>
      <c r="L51" s="56" t="str">
        <f t="shared" si="29"/>
        <v>WRC</v>
      </c>
      <c r="M51" s="56" t="str">
        <f t="shared" si="29"/>
        <v>杉本　博章</v>
      </c>
    </row>
    <row r="52" spans="1:14" ht="18" customHeight="1" x14ac:dyDescent="0.15">
      <c r="B52" s="71">
        <f t="shared" si="30"/>
        <v>41</v>
      </c>
      <c r="C52" s="72" t="str">
        <f t="shared" si="25"/>
        <v>NRC</v>
      </c>
      <c r="D52" s="73" t="str">
        <f t="shared" si="26"/>
        <v>斎藤　大輔</v>
      </c>
      <c r="E52" s="74"/>
      <c r="F52" s="75">
        <v>108</v>
      </c>
      <c r="G52" s="76" t="s">
        <v>124</v>
      </c>
      <c r="H52" s="74"/>
      <c r="I52" s="77" t="str">
        <f t="shared" si="27"/>
        <v>大橋　正寛</v>
      </c>
      <c r="J52" s="78" t="str">
        <f t="shared" si="28"/>
        <v>SBC</v>
      </c>
      <c r="K52" s="94"/>
      <c r="L52" s="56" t="str">
        <f t="shared" si="29"/>
        <v>WRC</v>
      </c>
      <c r="M52" s="56" t="str">
        <f t="shared" si="29"/>
        <v>末岡　修</v>
      </c>
    </row>
    <row r="53" spans="1:14" ht="18" customHeight="1" thickBot="1" x14ac:dyDescent="0.2">
      <c r="B53" s="71">
        <f t="shared" si="30"/>
        <v>42</v>
      </c>
      <c r="C53" s="72" t="str">
        <f t="shared" si="25"/>
        <v>NRC</v>
      </c>
      <c r="D53" s="73" t="str">
        <f t="shared" si="26"/>
        <v>長谷川　進</v>
      </c>
      <c r="E53" s="74"/>
      <c r="F53" s="75">
        <v>127</v>
      </c>
      <c r="G53" s="76" t="s">
        <v>124</v>
      </c>
      <c r="H53" s="74"/>
      <c r="I53" s="77" t="str">
        <f t="shared" si="27"/>
        <v>大橋　洋子</v>
      </c>
      <c r="J53" s="78" t="str">
        <f t="shared" si="28"/>
        <v>SBC</v>
      </c>
      <c r="K53" s="94"/>
      <c r="L53" s="56" t="str">
        <f t="shared" si="29"/>
        <v>WRC</v>
      </c>
      <c r="M53" s="56" t="str">
        <f t="shared" si="29"/>
        <v>中本　雅大</v>
      </c>
    </row>
    <row r="54" spans="1:14" ht="18" hidden="1" customHeight="1" x14ac:dyDescent="0.15">
      <c r="B54" s="79" t="str">
        <f>IF(D54="","",B53+1)</f>
        <v/>
      </c>
      <c r="C54" s="80" t="str">
        <f t="shared" si="25"/>
        <v>NRC</v>
      </c>
      <c r="D54" s="81" t="str">
        <f t="shared" si="26"/>
        <v/>
      </c>
      <c r="E54" s="82"/>
      <c r="F54" s="83"/>
      <c r="G54" s="84"/>
      <c r="H54" s="82"/>
      <c r="I54" s="85" t="str">
        <f t="shared" si="27"/>
        <v/>
      </c>
      <c r="J54" s="96" t="str">
        <f t="shared" si="28"/>
        <v>SBC</v>
      </c>
      <c r="L54" s="56" t="str">
        <f t="shared" si="29"/>
        <v>WRC</v>
      </c>
      <c r="M54" s="56" t="str">
        <f t="shared" si="29"/>
        <v/>
      </c>
    </row>
    <row r="55" spans="1:14" ht="18" customHeight="1" x14ac:dyDescent="0.15">
      <c r="A55" s="54" t="s">
        <v>61</v>
      </c>
      <c r="B55" s="87">
        <f>IF(D54="",B53+1,B54+1)</f>
        <v>43</v>
      </c>
      <c r="C55" s="88" t="str">
        <f t="shared" ref="C55:C70" si="31">$C$7</f>
        <v>WRC</v>
      </c>
      <c r="D55" s="89" t="str">
        <f t="shared" ref="D55:D62" si="32">D63</f>
        <v>末岡　修</v>
      </c>
      <c r="E55" s="90"/>
      <c r="F55" s="67">
        <v>114</v>
      </c>
      <c r="G55" s="91" t="s">
        <v>124</v>
      </c>
      <c r="H55" s="90"/>
      <c r="I55" s="92" t="str">
        <f>IF($D$7="","",【準備】登録!$D$13)</f>
        <v>大橋　義治</v>
      </c>
      <c r="J55" s="93" t="str">
        <f t="shared" si="28"/>
        <v>SBC</v>
      </c>
      <c r="L55" s="56" t="str">
        <f t="shared" ref="L55:L62" si="33">J63</f>
        <v>NRC</v>
      </c>
      <c r="M55" s="56" t="str">
        <f t="shared" ref="M55:M62" si="34">I63</f>
        <v>長谷川　進</v>
      </c>
    </row>
    <row r="56" spans="1:14" ht="18" customHeight="1" x14ac:dyDescent="0.15">
      <c r="B56" s="71">
        <f t="shared" ref="B56:B61" si="35">B55+1</f>
        <v>44</v>
      </c>
      <c r="C56" s="72" t="str">
        <f t="shared" si="31"/>
        <v>WRC</v>
      </c>
      <c r="D56" s="73" t="str">
        <f t="shared" si="32"/>
        <v>中本　雅大</v>
      </c>
      <c r="E56" s="74"/>
      <c r="F56" s="75">
        <v>120</v>
      </c>
      <c r="G56" s="76" t="s">
        <v>124</v>
      </c>
      <c r="H56" s="74"/>
      <c r="I56" s="77" t="str">
        <f>IF($D$7="","",【準備】登録!$G$13)</f>
        <v>林　秀忠</v>
      </c>
      <c r="J56" s="78" t="str">
        <f t="shared" si="28"/>
        <v>SBC</v>
      </c>
      <c r="L56" s="56" t="str">
        <f t="shared" si="33"/>
        <v>NRC</v>
      </c>
      <c r="M56" s="56" t="str">
        <f t="shared" si="34"/>
        <v>白戸　恭子</v>
      </c>
    </row>
    <row r="57" spans="1:14" ht="18" customHeight="1" x14ac:dyDescent="0.15">
      <c r="B57" s="71">
        <f t="shared" si="35"/>
        <v>45</v>
      </c>
      <c r="C57" s="72" t="str">
        <f t="shared" si="31"/>
        <v>WRC</v>
      </c>
      <c r="D57" s="73" t="str">
        <f t="shared" si="32"/>
        <v>大迫　忠典</v>
      </c>
      <c r="E57" s="74"/>
      <c r="F57" s="75">
        <v>81</v>
      </c>
      <c r="G57" s="76" t="s">
        <v>128</v>
      </c>
      <c r="H57" s="74"/>
      <c r="I57" s="77" t="str">
        <f>IF($D$7="","",【準備】登録!$J$13)</f>
        <v>西峰　久祐</v>
      </c>
      <c r="J57" s="78" t="str">
        <f t="shared" si="28"/>
        <v>SBC</v>
      </c>
      <c r="L57" s="56" t="str">
        <f t="shared" si="33"/>
        <v>NRC</v>
      </c>
      <c r="M57" s="56" t="str">
        <f t="shared" si="34"/>
        <v>白戸　玲人</v>
      </c>
    </row>
    <row r="58" spans="1:14" ht="18" customHeight="1" x14ac:dyDescent="0.15">
      <c r="B58" s="71">
        <f t="shared" si="35"/>
        <v>46</v>
      </c>
      <c r="C58" s="72" t="str">
        <f t="shared" si="31"/>
        <v>WRC</v>
      </c>
      <c r="D58" s="73" t="str">
        <f t="shared" si="32"/>
        <v>松房　ゆかり</v>
      </c>
      <c r="E58" s="74"/>
      <c r="F58" s="95" t="s">
        <v>124</v>
      </c>
      <c r="G58" s="76">
        <v>28</v>
      </c>
      <c r="H58" s="74"/>
      <c r="I58" s="77" t="str">
        <f>IF($D$7="","",【準備】登録!$M$13)</f>
        <v>山中　康裕</v>
      </c>
      <c r="J58" s="78" t="str">
        <f t="shared" si="28"/>
        <v>SBC</v>
      </c>
      <c r="L58" s="56" t="str">
        <f t="shared" si="33"/>
        <v>NRC</v>
      </c>
      <c r="M58" s="56" t="str">
        <f t="shared" si="34"/>
        <v>吉向　翔平</v>
      </c>
    </row>
    <row r="59" spans="1:14" ht="18" customHeight="1" x14ac:dyDescent="0.15">
      <c r="B59" s="71">
        <f t="shared" si="35"/>
        <v>47</v>
      </c>
      <c r="C59" s="72" t="str">
        <f t="shared" si="31"/>
        <v>WRC</v>
      </c>
      <c r="D59" s="73" t="str">
        <f t="shared" si="32"/>
        <v>森田　憲</v>
      </c>
      <c r="E59" s="74"/>
      <c r="F59" s="75" t="s">
        <v>124</v>
      </c>
      <c r="G59" s="76">
        <v>47</v>
      </c>
      <c r="H59" s="74"/>
      <c r="I59" s="77" t="str">
        <f>IF($D$7="","",【準備】登録!$P$13)</f>
        <v>柳川　哲也</v>
      </c>
      <c r="J59" s="78" t="str">
        <f t="shared" si="28"/>
        <v>SBC</v>
      </c>
      <c r="L59" s="56" t="str">
        <f t="shared" si="33"/>
        <v>NRC</v>
      </c>
      <c r="M59" s="56" t="str">
        <f t="shared" si="34"/>
        <v>植田　慎也</v>
      </c>
    </row>
    <row r="60" spans="1:14" ht="18" customHeight="1" x14ac:dyDescent="0.15">
      <c r="B60" s="71">
        <f t="shared" si="35"/>
        <v>48</v>
      </c>
      <c r="C60" s="72" t="str">
        <f t="shared" si="31"/>
        <v>WRC</v>
      </c>
      <c r="D60" s="73" t="str">
        <f t="shared" si="32"/>
        <v>和田　宗一郎</v>
      </c>
      <c r="E60" s="74"/>
      <c r="F60" s="75" t="s">
        <v>124</v>
      </c>
      <c r="G60" s="76">
        <v>41</v>
      </c>
      <c r="H60" s="74"/>
      <c r="I60" s="77" t="str">
        <f>IF($D$7="","",【準備】登録!$S$13)</f>
        <v>大橋　正寛</v>
      </c>
      <c r="J60" s="78" t="str">
        <f t="shared" si="28"/>
        <v>SBC</v>
      </c>
      <c r="L60" s="56" t="str">
        <f t="shared" si="33"/>
        <v>NRC</v>
      </c>
      <c r="M60" s="56" t="str">
        <f t="shared" si="34"/>
        <v>岩本　剛</v>
      </c>
    </row>
    <row r="61" spans="1:14" ht="18" customHeight="1" thickBot="1" x14ac:dyDescent="0.2">
      <c r="B61" s="71">
        <f t="shared" si="35"/>
        <v>49</v>
      </c>
      <c r="C61" s="72" t="str">
        <f t="shared" si="31"/>
        <v>WRC</v>
      </c>
      <c r="D61" s="73" t="str">
        <f t="shared" si="32"/>
        <v>杉本　博章</v>
      </c>
      <c r="E61" s="74"/>
      <c r="F61" s="75" t="s">
        <v>124</v>
      </c>
      <c r="G61" s="76">
        <v>98</v>
      </c>
      <c r="H61" s="74"/>
      <c r="I61" s="77" t="str">
        <f>IF($D$7="","",【準備】登録!$V$13)</f>
        <v>大橋　洋子</v>
      </c>
      <c r="J61" s="78" t="str">
        <f t="shared" si="28"/>
        <v>SBC</v>
      </c>
      <c r="L61" s="56" t="str">
        <f t="shared" si="33"/>
        <v>NRC</v>
      </c>
      <c r="M61" s="56" t="str">
        <f t="shared" si="34"/>
        <v>斎藤　大輔</v>
      </c>
    </row>
    <row r="62" spans="1:14" ht="18" hidden="1" customHeight="1" x14ac:dyDescent="0.15">
      <c r="B62" s="79" t="str">
        <f>IF(D70="","",B61+1)</f>
        <v/>
      </c>
      <c r="C62" s="80" t="str">
        <f t="shared" si="31"/>
        <v>WRC</v>
      </c>
      <c r="D62" s="81" t="str">
        <f t="shared" si="32"/>
        <v/>
      </c>
      <c r="E62" s="82"/>
      <c r="F62" s="83"/>
      <c r="G62" s="84"/>
      <c r="H62" s="82"/>
      <c r="I62" s="85" t="str">
        <f>IF(【準備】登録!Y13="","",【準備】登録!$Y$13)</f>
        <v/>
      </c>
      <c r="J62" s="96" t="str">
        <f t="shared" si="28"/>
        <v>SBC</v>
      </c>
      <c r="L62" s="56" t="str">
        <f t="shared" si="33"/>
        <v>NRC</v>
      </c>
      <c r="M62" s="56" t="str">
        <f t="shared" si="34"/>
        <v/>
      </c>
      <c r="N62" s="100"/>
    </row>
    <row r="63" spans="1:14" ht="18" customHeight="1" x14ac:dyDescent="0.15">
      <c r="B63" s="87">
        <f>IF(D70="",B61+1,B62+1)</f>
        <v>50</v>
      </c>
      <c r="C63" s="88" t="str">
        <f t="shared" si="31"/>
        <v>WRC</v>
      </c>
      <c r="D63" s="89" t="str">
        <f>IF($D$7="","",IF(【準備】登録!Y11="",【準備】登録!M11,【準備】登録!$P$11))</f>
        <v>末岡　修</v>
      </c>
      <c r="E63" s="90"/>
      <c r="F63" s="101" t="s">
        <v>124</v>
      </c>
      <c r="G63" s="91">
        <v>131</v>
      </c>
      <c r="H63" s="90"/>
      <c r="I63" s="92" t="str">
        <f>IF($D$7="","",IF(【準備】登録!Y12="",【準備】登録!S12,【準備】登録!$V$12))</f>
        <v>長谷川　進</v>
      </c>
      <c r="J63" s="93" t="str">
        <f t="shared" ref="J63:J70" si="36">$C$23</f>
        <v>NRC</v>
      </c>
      <c r="L63" s="56" t="str">
        <f t="shared" ref="L63:L70" si="37">J55</f>
        <v>SBC</v>
      </c>
      <c r="M63" s="56" t="str">
        <f t="shared" ref="M63:M70" si="38">I55</f>
        <v>大橋　義治</v>
      </c>
      <c r="N63" s="102"/>
    </row>
    <row r="64" spans="1:14" ht="18" customHeight="1" x14ac:dyDescent="0.15">
      <c r="B64" s="71">
        <f t="shared" ref="B64:B69" si="39">B63+1</f>
        <v>51</v>
      </c>
      <c r="C64" s="72" t="str">
        <f t="shared" si="31"/>
        <v>WRC</v>
      </c>
      <c r="D64" s="73" t="str">
        <f>IF($D$7="","",IF(【準備】登録!Y11="",【準備】登録!P11,【準備】登録!$S$11))</f>
        <v>中本　雅大</v>
      </c>
      <c r="E64" s="74"/>
      <c r="F64" s="75">
        <v>39</v>
      </c>
      <c r="G64" s="76" t="s">
        <v>124</v>
      </c>
      <c r="H64" s="74"/>
      <c r="I64" s="77" t="str">
        <f>IF($D$7="","",IF(【準備】登録!Y12="",【準備】登録!V12,【準備】登録!$Y$12))</f>
        <v>白戸　恭子</v>
      </c>
      <c r="J64" s="78" t="str">
        <f t="shared" si="36"/>
        <v>NRC</v>
      </c>
      <c r="L64" s="56" t="str">
        <f t="shared" si="37"/>
        <v>SBC</v>
      </c>
      <c r="M64" s="56" t="str">
        <f t="shared" si="38"/>
        <v>林　秀忠</v>
      </c>
      <c r="N64" s="102"/>
    </row>
    <row r="65" spans="2:14" ht="18" customHeight="1" x14ac:dyDescent="0.15">
      <c r="B65" s="71">
        <f t="shared" si="39"/>
        <v>52</v>
      </c>
      <c r="C65" s="72" t="str">
        <f t="shared" si="31"/>
        <v>WRC</v>
      </c>
      <c r="D65" s="73" t="str">
        <f>IF($D$7="","",IF(【準備】登録!Y11="",【準備】登録!S11,【準備】登録!$V$11))</f>
        <v>大迫　忠典</v>
      </c>
      <c r="E65" s="74"/>
      <c r="F65" s="75">
        <v>115</v>
      </c>
      <c r="G65" s="76" t="s">
        <v>124</v>
      </c>
      <c r="H65" s="74"/>
      <c r="I65" s="77" t="str">
        <f>IF($D$7="","",【準備】登録!$D$12)</f>
        <v>白戸　玲人</v>
      </c>
      <c r="J65" s="78" t="str">
        <f t="shared" si="36"/>
        <v>NRC</v>
      </c>
      <c r="L65" s="56" t="str">
        <f t="shared" si="37"/>
        <v>SBC</v>
      </c>
      <c r="M65" s="56" t="str">
        <f t="shared" si="38"/>
        <v>西峰　久祐</v>
      </c>
      <c r="N65" s="102"/>
    </row>
    <row r="66" spans="2:14" ht="18" customHeight="1" x14ac:dyDescent="0.15">
      <c r="B66" s="71">
        <f t="shared" si="39"/>
        <v>53</v>
      </c>
      <c r="C66" s="72" t="str">
        <f t="shared" si="31"/>
        <v>WRC</v>
      </c>
      <c r="D66" s="73" t="str">
        <f>IF($D$7="","",IF(【準備】登録!Y11="",【準備】登録!V11,【準備】登録!$Y$11))</f>
        <v>松房　ゆかり</v>
      </c>
      <c r="E66" s="74"/>
      <c r="F66" s="75">
        <v>99</v>
      </c>
      <c r="G66" s="76" t="s">
        <v>124</v>
      </c>
      <c r="H66" s="74"/>
      <c r="I66" s="77" t="str">
        <f>IF($D$7="","",【準備】登録!$G$12)</f>
        <v>吉向　翔平</v>
      </c>
      <c r="J66" s="78" t="str">
        <f t="shared" si="36"/>
        <v>NRC</v>
      </c>
      <c r="L66" s="56" t="str">
        <f t="shared" si="37"/>
        <v>SBC</v>
      </c>
      <c r="M66" s="56" t="str">
        <f t="shared" si="38"/>
        <v>山中　康裕</v>
      </c>
    </row>
    <row r="67" spans="2:14" ht="18" customHeight="1" x14ac:dyDescent="0.15">
      <c r="B67" s="71">
        <f t="shared" si="39"/>
        <v>54</v>
      </c>
      <c r="C67" s="72" t="str">
        <f t="shared" si="31"/>
        <v>WRC</v>
      </c>
      <c r="D67" s="73" t="str">
        <f>IF($D$7="","",【準備】登録!$D$11)</f>
        <v>森田　憲</v>
      </c>
      <c r="E67" s="74">
        <v>117</v>
      </c>
      <c r="F67" s="75" t="s">
        <v>124</v>
      </c>
      <c r="G67" s="76">
        <v>20</v>
      </c>
      <c r="H67" s="74"/>
      <c r="I67" s="77" t="str">
        <f>IF($D$7="","",【準備】登録!$J$12)</f>
        <v>植田　慎也</v>
      </c>
      <c r="J67" s="78" t="str">
        <f t="shared" si="36"/>
        <v>NRC</v>
      </c>
      <c r="L67" s="56" t="str">
        <f t="shared" si="37"/>
        <v>SBC</v>
      </c>
      <c r="M67" s="56" t="str">
        <f t="shared" si="38"/>
        <v>柳川　哲也</v>
      </c>
    </row>
    <row r="68" spans="2:14" ht="18" customHeight="1" x14ac:dyDescent="0.15">
      <c r="B68" s="71">
        <f t="shared" si="39"/>
        <v>55</v>
      </c>
      <c r="C68" s="72" t="str">
        <f t="shared" si="31"/>
        <v>WRC</v>
      </c>
      <c r="D68" s="73" t="str">
        <f>IF($D$7="","",【準備】登録!$G$11)</f>
        <v>和田　宗一郎</v>
      </c>
      <c r="E68" s="74"/>
      <c r="F68" s="75" t="s">
        <v>124</v>
      </c>
      <c r="G68" s="76">
        <v>59</v>
      </c>
      <c r="H68" s="74"/>
      <c r="I68" s="77" t="str">
        <f>IF($D$7="","",【準備】登録!$M$12)</f>
        <v>岩本　剛</v>
      </c>
      <c r="J68" s="78" t="str">
        <f t="shared" si="36"/>
        <v>NRC</v>
      </c>
      <c r="L68" s="56" t="str">
        <f t="shared" si="37"/>
        <v>SBC</v>
      </c>
      <c r="M68" s="56" t="str">
        <f t="shared" si="38"/>
        <v>大橋　正寛</v>
      </c>
    </row>
    <row r="69" spans="2:14" ht="18" customHeight="1" thickBot="1" x14ac:dyDescent="0.2">
      <c r="B69" s="71">
        <f t="shared" si="39"/>
        <v>56</v>
      </c>
      <c r="C69" s="72" t="str">
        <f t="shared" si="31"/>
        <v>WRC</v>
      </c>
      <c r="D69" s="73" t="str">
        <f>IF($D$7="","",【準備】登録!$J$11)</f>
        <v>杉本　博章</v>
      </c>
      <c r="E69" s="74"/>
      <c r="F69" s="75" t="s">
        <v>124</v>
      </c>
      <c r="G69" s="76">
        <v>30</v>
      </c>
      <c r="H69" s="74"/>
      <c r="I69" s="77" t="str">
        <f>IF($D$7="","",【準備】登録!$P$12)</f>
        <v>斎藤　大輔</v>
      </c>
      <c r="J69" s="78" t="str">
        <f t="shared" si="36"/>
        <v>NRC</v>
      </c>
      <c r="L69" s="56" t="str">
        <f t="shared" si="37"/>
        <v>SBC</v>
      </c>
      <c r="M69" s="56" t="str">
        <f t="shared" si="38"/>
        <v>大橋　洋子</v>
      </c>
    </row>
    <row r="70" spans="2:14" ht="18" hidden="1" customHeight="1" x14ac:dyDescent="0.15">
      <c r="B70" s="79" t="str">
        <f>IF(D62="","",B69+1)</f>
        <v/>
      </c>
      <c r="C70" s="80" t="str">
        <f t="shared" si="31"/>
        <v>WRC</v>
      </c>
      <c r="D70" s="81" t="str">
        <f>IF(【準備】登録!Y11="","",【準備】登録!$M$11)</f>
        <v/>
      </c>
      <c r="E70" s="82"/>
      <c r="F70" s="83"/>
      <c r="G70" s="84"/>
      <c r="H70" s="82"/>
      <c r="I70" s="85" t="str">
        <f>IF(【準備】登録!Y12="","",【準備】登録!$S$12)</f>
        <v/>
      </c>
      <c r="J70" s="96" t="str">
        <f t="shared" si="36"/>
        <v>NRC</v>
      </c>
      <c r="L70" s="56" t="str">
        <f t="shared" si="37"/>
        <v>SBC</v>
      </c>
      <c r="M70" s="56" t="str">
        <f t="shared" si="38"/>
        <v/>
      </c>
    </row>
    <row r="71" spans="2:14" ht="18" customHeight="1" x14ac:dyDescent="0.15">
      <c r="B71" s="87">
        <f>IF(D62="",B69+1,B70+1)</f>
        <v>57</v>
      </c>
      <c r="C71" s="88" t="str">
        <f t="shared" ref="C71:C78" si="40">$C$23</f>
        <v>NRC</v>
      </c>
      <c r="D71" s="89" t="str">
        <f t="shared" ref="D71:D78" si="41">I63</f>
        <v>長谷川　進</v>
      </c>
      <c r="E71" s="90"/>
      <c r="F71" s="67">
        <v>82</v>
      </c>
      <c r="G71" s="91" t="s">
        <v>124</v>
      </c>
      <c r="H71" s="90">
        <v>121</v>
      </c>
      <c r="I71" s="92" t="str">
        <f t="shared" ref="I71:I78" si="42">I55</f>
        <v>大橋　義治</v>
      </c>
      <c r="J71" s="93" t="str">
        <f t="shared" ref="J71:J78" si="43">$J$7</f>
        <v>SBC</v>
      </c>
      <c r="L71" s="56" t="str">
        <f t="shared" ref="L71:M78" si="44">C63</f>
        <v>WRC</v>
      </c>
      <c r="M71" s="56" t="str">
        <f t="shared" si="44"/>
        <v>末岡　修</v>
      </c>
    </row>
    <row r="72" spans="2:14" ht="18" customHeight="1" x14ac:dyDescent="0.15">
      <c r="B72" s="71">
        <f t="shared" ref="B72:B77" si="45">B71+1</f>
        <v>58</v>
      </c>
      <c r="C72" s="72" t="str">
        <f t="shared" si="40"/>
        <v>NRC</v>
      </c>
      <c r="D72" s="73" t="str">
        <f t="shared" si="41"/>
        <v>白戸　恭子</v>
      </c>
      <c r="E72" s="74"/>
      <c r="F72" s="75">
        <v>49</v>
      </c>
      <c r="G72" s="76" t="s">
        <v>124</v>
      </c>
      <c r="H72" s="74"/>
      <c r="I72" s="77" t="str">
        <f t="shared" si="42"/>
        <v>林　秀忠</v>
      </c>
      <c r="J72" s="78" t="str">
        <f t="shared" si="43"/>
        <v>SBC</v>
      </c>
      <c r="L72" s="56" t="str">
        <f t="shared" si="44"/>
        <v>WRC</v>
      </c>
      <c r="M72" s="56" t="str">
        <f t="shared" si="44"/>
        <v>中本　雅大</v>
      </c>
    </row>
    <row r="73" spans="2:14" ht="18" customHeight="1" x14ac:dyDescent="0.15">
      <c r="B73" s="71">
        <f t="shared" si="45"/>
        <v>59</v>
      </c>
      <c r="C73" s="72" t="str">
        <f t="shared" si="40"/>
        <v>NRC</v>
      </c>
      <c r="D73" s="73" t="str">
        <f t="shared" si="41"/>
        <v>白戸　玲人</v>
      </c>
      <c r="E73" s="74"/>
      <c r="F73" s="75" t="s">
        <v>124</v>
      </c>
      <c r="G73" s="99">
        <v>154</v>
      </c>
      <c r="H73" s="74"/>
      <c r="I73" s="77" t="str">
        <f t="shared" si="42"/>
        <v>西峰　久祐</v>
      </c>
      <c r="J73" s="78" t="str">
        <f t="shared" si="43"/>
        <v>SBC</v>
      </c>
      <c r="L73" s="56" t="str">
        <f t="shared" si="44"/>
        <v>WRC</v>
      </c>
      <c r="M73" s="56" t="str">
        <f t="shared" si="44"/>
        <v>大迫　忠典</v>
      </c>
    </row>
    <row r="74" spans="2:14" ht="18" customHeight="1" x14ac:dyDescent="0.15">
      <c r="B74" s="71">
        <f t="shared" si="45"/>
        <v>60</v>
      </c>
      <c r="C74" s="72" t="str">
        <f t="shared" si="40"/>
        <v>NRC</v>
      </c>
      <c r="D74" s="73" t="str">
        <f t="shared" si="41"/>
        <v>吉向　翔平</v>
      </c>
      <c r="E74" s="74"/>
      <c r="F74" s="75" t="s">
        <v>124</v>
      </c>
      <c r="G74" s="76">
        <v>28</v>
      </c>
      <c r="H74" s="34"/>
      <c r="I74" s="77" t="str">
        <f t="shared" si="42"/>
        <v>山中　康裕</v>
      </c>
      <c r="J74" s="78" t="str">
        <f t="shared" si="43"/>
        <v>SBC</v>
      </c>
      <c r="L74" s="56" t="str">
        <f t="shared" si="44"/>
        <v>WRC</v>
      </c>
      <c r="M74" s="56" t="str">
        <f t="shared" si="44"/>
        <v>松房　ゆかり</v>
      </c>
    </row>
    <row r="75" spans="2:14" ht="18" customHeight="1" x14ac:dyDescent="0.15">
      <c r="B75" s="71">
        <f t="shared" si="45"/>
        <v>61</v>
      </c>
      <c r="C75" s="72" t="str">
        <f t="shared" si="40"/>
        <v>NRC</v>
      </c>
      <c r="D75" s="73" t="str">
        <f t="shared" si="41"/>
        <v>植田　慎也</v>
      </c>
      <c r="E75" s="74"/>
      <c r="F75" s="95" t="s">
        <v>124</v>
      </c>
      <c r="G75" s="76">
        <v>128</v>
      </c>
      <c r="H75" s="74"/>
      <c r="I75" s="77" t="str">
        <f t="shared" si="42"/>
        <v>柳川　哲也</v>
      </c>
      <c r="J75" s="78" t="str">
        <f t="shared" si="43"/>
        <v>SBC</v>
      </c>
      <c r="L75" s="56" t="str">
        <f t="shared" si="44"/>
        <v>WRC</v>
      </c>
      <c r="M75" s="56" t="str">
        <f t="shared" si="44"/>
        <v>森田　憲</v>
      </c>
    </row>
    <row r="76" spans="2:14" ht="18" customHeight="1" x14ac:dyDescent="0.15">
      <c r="B76" s="71">
        <f t="shared" si="45"/>
        <v>62</v>
      </c>
      <c r="C76" s="72" t="str">
        <f t="shared" si="40"/>
        <v>NRC</v>
      </c>
      <c r="D76" s="73" t="str">
        <f t="shared" si="41"/>
        <v>岩本　剛</v>
      </c>
      <c r="E76" s="74"/>
      <c r="F76" s="75" t="s">
        <v>124</v>
      </c>
      <c r="G76" s="76">
        <v>125</v>
      </c>
      <c r="H76" s="34">
        <v>106</v>
      </c>
      <c r="I76" s="77" t="str">
        <f t="shared" si="42"/>
        <v>大橋　正寛</v>
      </c>
      <c r="J76" s="78" t="str">
        <f t="shared" si="43"/>
        <v>SBC</v>
      </c>
      <c r="L76" s="56" t="str">
        <f t="shared" si="44"/>
        <v>WRC</v>
      </c>
      <c r="M76" s="56" t="str">
        <f t="shared" si="44"/>
        <v>和田　宗一郎</v>
      </c>
    </row>
    <row r="77" spans="2:14" ht="18" customHeight="1" x14ac:dyDescent="0.15">
      <c r="B77" s="71">
        <f t="shared" si="45"/>
        <v>63</v>
      </c>
      <c r="C77" s="72" t="str">
        <f t="shared" si="40"/>
        <v>NRC</v>
      </c>
      <c r="D77" s="73" t="str">
        <f t="shared" si="41"/>
        <v>斎藤　大輔</v>
      </c>
      <c r="E77" s="74"/>
      <c r="F77" s="75" t="s">
        <v>124</v>
      </c>
      <c r="G77" s="99">
        <v>100</v>
      </c>
      <c r="H77" s="74"/>
      <c r="I77" s="77" t="str">
        <f t="shared" si="42"/>
        <v>大橋　洋子</v>
      </c>
      <c r="J77" s="78" t="str">
        <f t="shared" si="43"/>
        <v>SBC</v>
      </c>
      <c r="L77" s="56" t="str">
        <f t="shared" si="44"/>
        <v>WRC</v>
      </c>
      <c r="M77" s="56" t="str">
        <f t="shared" si="44"/>
        <v>杉本　博章</v>
      </c>
    </row>
    <row r="78" spans="2:14" ht="18" hidden="1" customHeight="1" x14ac:dyDescent="0.15">
      <c r="B78" s="79" t="str">
        <f>IF(D78="","",B77+1)</f>
        <v/>
      </c>
      <c r="C78" s="80" t="str">
        <f t="shared" si="40"/>
        <v>NRC</v>
      </c>
      <c r="D78" s="81" t="str">
        <f t="shared" si="41"/>
        <v/>
      </c>
      <c r="E78" s="82"/>
      <c r="F78" s="83"/>
      <c r="G78" s="84"/>
      <c r="H78" s="82"/>
      <c r="I78" s="85" t="str">
        <f t="shared" si="42"/>
        <v/>
      </c>
      <c r="J78" s="96" t="str">
        <f t="shared" si="43"/>
        <v>SBC</v>
      </c>
      <c r="L78" s="56" t="str">
        <f t="shared" si="44"/>
        <v>WRC</v>
      </c>
      <c r="M78" s="56" t="str">
        <f t="shared" si="44"/>
        <v/>
      </c>
    </row>
  </sheetData>
  <autoFilter ref="A6:J78">
    <filterColumn colId="1">
      <customFilters and="1">
        <customFilter operator="notEqual" val=" "/>
      </customFilters>
    </filterColumn>
  </autoFilter>
  <phoneticPr fontId="2"/>
  <dataValidations count="1">
    <dataValidation imeMode="off" allowBlank="1" showInputMessage="1" showErrorMessage="1" sqref="E7:H78"/>
  </dataValidations>
  <printOptions horizontalCentered="1" verticalCentered="1"/>
  <pageMargins left="0.59027777777777779" right="0.59027777777777779" top="0.98402777777777772" bottom="0.98402777777777772" header="0.51111111111111107" footer="0.51111111111111107"/>
  <pageSetup paperSize="9" firstPageNumber="4294963191" orientation="portrait" r:id="rId1"/>
  <headerFooter alignWithMargins="0"/>
  <rowBreaks count="1" manualBreakCount="1">
    <brk id="4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42"/>
  <sheetViews>
    <sheetView topLeftCell="A10" zoomScale="160" zoomScaleNormal="160" workbookViewId="0">
      <selection activeCell="BF7" sqref="BF7"/>
    </sheetView>
  </sheetViews>
  <sheetFormatPr defaultColWidth="3.625" defaultRowHeight="13.5" x14ac:dyDescent="0.15"/>
  <cols>
    <col min="1" max="1" width="2.75" style="108" customWidth="1"/>
    <col min="2" max="4" width="2.625" style="192" customWidth="1"/>
    <col min="5" max="5" width="4.625" style="108" hidden="1" customWidth="1"/>
    <col min="6" max="7" width="2.75" style="108" customWidth="1"/>
    <col min="8" max="9" width="3.125" style="55" customWidth="1"/>
    <col min="10" max="11" width="2.75" style="113" hidden="1" customWidth="1"/>
    <col min="12" max="13" width="2.75" style="108" customWidth="1"/>
    <col min="14" max="14" width="3.5" style="108" customWidth="1"/>
    <col min="15" max="15" width="2.75" style="108" customWidth="1"/>
    <col min="16" max="17" width="2.75" style="113" hidden="1" customWidth="1"/>
    <col min="18" max="19" width="3.125" style="55" customWidth="1"/>
    <col min="20" max="21" width="2.75" style="113" hidden="1" customWidth="1"/>
    <col min="22" max="25" width="2.75" style="108" customWidth="1"/>
    <col min="26" max="27" width="2.75" style="108" hidden="1" customWidth="1"/>
    <col min="28" max="29" width="3.125" style="55" customWidth="1"/>
    <col min="30" max="31" width="2.75" style="113" hidden="1" customWidth="1"/>
    <col min="32" max="35" width="2.75" style="108" customWidth="1"/>
    <col min="36" max="37" width="2.75" style="108" hidden="1" customWidth="1"/>
    <col min="38" max="39" width="3.125" style="55" customWidth="1"/>
    <col min="40" max="41" width="2.75" style="113" hidden="1" customWidth="1"/>
    <col min="42" max="45" width="2.75" style="108" customWidth="1"/>
    <col min="46" max="47" width="2.75" style="108" hidden="1" customWidth="1"/>
    <col min="48" max="49" width="3.125" style="55" customWidth="1"/>
    <col min="50" max="51" width="2.75" style="113" hidden="1" customWidth="1"/>
    <col min="52" max="55" width="2.75" style="108" customWidth="1"/>
    <col min="56" max="57" width="2.75" style="108" hidden="1" customWidth="1"/>
    <col min="58" max="59" width="3.125" style="108" customWidth="1"/>
    <col min="60" max="61" width="2.75" style="113" hidden="1" customWidth="1"/>
    <col min="62" max="63" width="2.75" style="108" customWidth="1"/>
    <col min="64" max="64" width="3.5" style="108" customWidth="1"/>
    <col min="65" max="70" width="4" style="108" customWidth="1"/>
    <col min="71" max="74" width="4.125" style="108" customWidth="1"/>
    <col min="75" max="75" width="9.75" style="108" customWidth="1"/>
    <col min="76" max="78" width="6" style="108" customWidth="1"/>
    <col min="79" max="79" width="5.75" style="108" bestFit="1" customWidth="1"/>
    <col min="80" max="80" width="6" style="108" customWidth="1"/>
    <col min="81" max="82" width="4.125" style="108" customWidth="1"/>
    <col min="83" max="83" width="6" style="108" customWidth="1"/>
    <col min="84" max="84" width="9.5" style="108" bestFit="1" customWidth="1"/>
    <col min="85" max="86" width="3.625" style="108" customWidth="1"/>
    <col min="87" max="87" width="7.25" style="108" customWidth="1"/>
    <col min="88" max="88" width="7.125" style="108" customWidth="1"/>
    <col min="89" max="89" width="5.125" style="108" customWidth="1"/>
    <col min="90" max="90" width="6.375" style="108" customWidth="1"/>
    <col min="91" max="91" width="7.125" style="108" customWidth="1"/>
    <col min="92" max="16384" width="3.625" style="108"/>
  </cols>
  <sheetData>
    <row r="1" spans="1:91" ht="17.25" x14ac:dyDescent="0.2">
      <c r="A1" s="103" t="str">
        <f>【準備】登録!D2&amp;【準備】登録!E2&amp;【準備】登録!F2&amp;"　"&amp;【準備】登録!G2&amp;【準備】登録!I2&amp;"　　　"&amp;"("&amp;【準備】登録!K6&amp;"；"&amp;【準備】登録!D6&amp;")"</f>
        <v>第17回　和奈滋対抗戦　　　(和歌山；オーシャンドリーム)</v>
      </c>
      <c r="B1" s="104"/>
      <c r="C1" s="104"/>
      <c r="D1" s="104"/>
      <c r="E1" s="105"/>
      <c r="F1" s="103"/>
      <c r="G1" s="103"/>
      <c r="H1" s="103"/>
      <c r="I1" s="103"/>
      <c r="J1" s="106"/>
      <c r="K1" s="106"/>
      <c r="L1" s="103"/>
      <c r="M1" s="103"/>
      <c r="N1" s="103"/>
      <c r="O1" s="103"/>
      <c r="P1" s="106"/>
      <c r="Q1" s="106"/>
      <c r="R1" s="103"/>
      <c r="S1" s="103"/>
      <c r="T1" s="106"/>
      <c r="U1" s="106"/>
      <c r="V1" s="103"/>
      <c r="W1" s="103"/>
      <c r="X1" s="103"/>
      <c r="Y1" s="103"/>
      <c r="Z1" s="103"/>
      <c r="AA1" s="103"/>
      <c r="AB1" s="103"/>
      <c r="AC1" s="103"/>
      <c r="AD1" s="106"/>
      <c r="AE1" s="106"/>
      <c r="AF1" s="103"/>
      <c r="AG1" s="103"/>
      <c r="AH1" s="103"/>
      <c r="AI1" s="103"/>
      <c r="AJ1" s="103"/>
      <c r="AK1" s="103"/>
      <c r="AL1" s="103"/>
      <c r="AM1" s="103"/>
      <c r="AN1" s="106"/>
      <c r="AO1" s="106"/>
      <c r="AP1" s="103"/>
      <c r="AQ1" s="103"/>
      <c r="AR1" s="103"/>
      <c r="AS1" s="103"/>
      <c r="AT1" s="103"/>
      <c r="AU1" s="103"/>
      <c r="AV1" s="103"/>
      <c r="AW1" s="103"/>
      <c r="AX1" s="106"/>
      <c r="AY1" s="106"/>
      <c r="AZ1" s="103"/>
      <c r="BA1" s="103"/>
      <c r="BB1" s="103"/>
      <c r="BC1" s="103"/>
      <c r="BD1" s="103"/>
      <c r="BE1" s="103"/>
      <c r="BF1" s="103"/>
      <c r="BG1" s="103"/>
      <c r="BH1" s="106"/>
      <c r="BI1" s="106"/>
      <c r="BJ1" s="103"/>
      <c r="BK1" s="103"/>
      <c r="BL1" s="103"/>
      <c r="BM1" s="107"/>
      <c r="BN1" s="107"/>
      <c r="BO1" s="107"/>
      <c r="BP1" s="107"/>
      <c r="BQ1" s="107"/>
      <c r="BR1" s="107"/>
    </row>
    <row r="2" spans="1:91" ht="17.25" x14ac:dyDescent="0.2">
      <c r="A2" s="109"/>
      <c r="B2" s="110"/>
      <c r="C2" s="110"/>
      <c r="D2" s="110"/>
      <c r="E2" s="111"/>
      <c r="F2" s="111"/>
      <c r="G2" s="111"/>
      <c r="H2" s="111"/>
      <c r="I2" s="111"/>
      <c r="J2" s="112"/>
      <c r="K2" s="112"/>
      <c r="L2" s="111"/>
      <c r="M2" s="111"/>
      <c r="N2" s="111"/>
      <c r="O2" s="111"/>
      <c r="P2" s="112"/>
      <c r="Q2" s="112"/>
      <c r="R2" s="111"/>
      <c r="S2" s="111"/>
      <c r="T2" s="112"/>
      <c r="U2" s="112"/>
      <c r="V2" s="111"/>
      <c r="W2" s="111"/>
      <c r="X2" s="111"/>
      <c r="Y2" s="111"/>
      <c r="Z2" s="111"/>
      <c r="AA2" s="111"/>
      <c r="AB2" s="111"/>
      <c r="AC2" s="111"/>
      <c r="AD2" s="112"/>
      <c r="AE2" s="112"/>
      <c r="AF2" s="111"/>
      <c r="AG2" s="111"/>
      <c r="AH2" s="111"/>
      <c r="AI2" s="111"/>
      <c r="AJ2" s="111"/>
      <c r="AK2" s="111"/>
      <c r="AL2" s="111"/>
      <c r="AM2" s="111"/>
      <c r="AN2" s="112"/>
      <c r="AO2" s="112"/>
      <c r="AP2" s="111"/>
      <c r="AQ2" s="111"/>
      <c r="AR2" s="111"/>
      <c r="AS2" s="111"/>
      <c r="AT2" s="111"/>
      <c r="AU2" s="111"/>
      <c r="AV2" s="111"/>
      <c r="AW2" s="111"/>
      <c r="AX2" s="112"/>
      <c r="AY2" s="112"/>
      <c r="AZ2" s="111"/>
      <c r="BA2" s="111"/>
      <c r="BB2" s="111"/>
      <c r="BC2" s="111"/>
      <c r="BD2" s="111"/>
      <c r="BE2" s="111"/>
      <c r="BF2" s="111"/>
      <c r="BM2" s="364">
        <f>【準備】登録!D4</f>
        <v>43765</v>
      </c>
      <c r="BN2" s="364"/>
      <c r="BO2" s="364"/>
      <c r="BP2" s="364"/>
      <c r="BQ2" s="364"/>
      <c r="BR2" s="36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</row>
    <row r="3" spans="1:91" ht="7.5" customHeight="1" thickBot="1" x14ac:dyDescent="0.2">
      <c r="B3" s="115"/>
      <c r="C3" s="115"/>
      <c r="D3" s="115"/>
      <c r="E3" s="114"/>
      <c r="F3" s="114"/>
      <c r="G3" s="114"/>
      <c r="H3" s="116"/>
      <c r="I3" s="116"/>
      <c r="J3" s="117"/>
      <c r="K3" s="117"/>
      <c r="L3" s="114"/>
      <c r="M3" s="114"/>
      <c r="N3" s="114"/>
      <c r="O3" s="114"/>
      <c r="P3" s="117"/>
      <c r="Q3" s="117"/>
      <c r="R3" s="116"/>
      <c r="S3" s="116"/>
      <c r="T3" s="117"/>
      <c r="U3" s="117"/>
      <c r="V3" s="114"/>
      <c r="W3" s="114"/>
      <c r="X3" s="114"/>
      <c r="Y3" s="114"/>
      <c r="Z3" s="114"/>
      <c r="AA3" s="114"/>
      <c r="AB3" s="116"/>
      <c r="AC3" s="116"/>
      <c r="AD3" s="117"/>
      <c r="AE3" s="117"/>
      <c r="AF3" s="114"/>
      <c r="AG3" s="114"/>
      <c r="AH3" s="114"/>
      <c r="AI3" s="114"/>
      <c r="AJ3" s="114"/>
      <c r="AK3" s="114"/>
      <c r="AL3" s="116"/>
      <c r="AM3" s="116"/>
      <c r="AN3" s="117"/>
      <c r="AO3" s="117"/>
      <c r="AP3" s="114"/>
      <c r="AQ3" s="114"/>
      <c r="AR3" s="114"/>
      <c r="AS3" s="114"/>
      <c r="AT3" s="114"/>
      <c r="AU3" s="114"/>
      <c r="AV3" s="116"/>
      <c r="AW3" s="116"/>
      <c r="AX3" s="117"/>
      <c r="AY3" s="117"/>
      <c r="AZ3" s="114"/>
      <c r="BA3" s="114"/>
      <c r="BB3" s="114"/>
      <c r="BC3" s="114"/>
      <c r="BD3" s="114"/>
      <c r="BE3" s="114"/>
      <c r="BF3" s="114"/>
      <c r="BG3" s="118"/>
      <c r="BH3" s="119"/>
      <c r="BI3" s="119"/>
      <c r="BJ3" s="118"/>
      <c r="BK3" s="118"/>
      <c r="BL3" s="118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</row>
    <row r="4" spans="1:91" ht="17.25" customHeight="1" thickBot="1" x14ac:dyDescent="0.2">
      <c r="A4" s="120"/>
      <c r="B4" s="121"/>
      <c r="C4" s="121"/>
      <c r="D4" s="122"/>
      <c r="E4" s="123"/>
      <c r="F4" s="365" t="s">
        <v>62</v>
      </c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7"/>
      <c r="X4" s="365" t="s">
        <v>63</v>
      </c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7"/>
      <c r="AR4" s="365" t="s">
        <v>64</v>
      </c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7"/>
      <c r="BL4" s="124" t="s">
        <v>65</v>
      </c>
      <c r="BM4" s="365" t="s">
        <v>66</v>
      </c>
      <c r="BN4" s="366"/>
      <c r="BO4" s="366"/>
      <c r="BP4" s="366"/>
      <c r="BQ4" s="366"/>
      <c r="BR4" s="367"/>
      <c r="BS4" s="114"/>
      <c r="BT4" s="125" t="s">
        <v>50</v>
      </c>
      <c r="BU4" s="125"/>
      <c r="BV4" s="125"/>
      <c r="BW4" s="125" t="s">
        <v>67</v>
      </c>
      <c r="BX4" s="125" t="s">
        <v>68</v>
      </c>
      <c r="BY4" s="125" t="s">
        <v>48</v>
      </c>
      <c r="BZ4" s="125" t="s">
        <v>69</v>
      </c>
      <c r="CA4" s="125" t="s">
        <v>70</v>
      </c>
      <c r="CB4" s="125"/>
      <c r="CC4" s="126" t="s">
        <v>71</v>
      </c>
      <c r="CD4" s="126"/>
      <c r="CE4" s="126"/>
      <c r="CF4" s="126"/>
      <c r="CG4" s="114"/>
      <c r="CH4" s="114"/>
    </row>
    <row r="5" spans="1:91" ht="17.25" customHeight="1" thickBot="1" x14ac:dyDescent="0.2">
      <c r="A5" s="352" t="str">
        <f>IF(【準備】登録!B11="","",【準備】登録!B11)</f>
        <v>WRC</v>
      </c>
      <c r="B5" s="355" t="s">
        <v>14</v>
      </c>
      <c r="C5" s="356"/>
      <c r="D5" s="357"/>
      <c r="E5" s="127" t="s">
        <v>72</v>
      </c>
      <c r="F5" s="344" t="str">
        <f>A25</f>
        <v>SBC</v>
      </c>
      <c r="G5" s="345"/>
      <c r="H5" s="128" t="s">
        <v>31</v>
      </c>
      <c r="I5" s="128" t="s">
        <v>73</v>
      </c>
      <c r="J5" s="346" t="s">
        <v>74</v>
      </c>
      <c r="K5" s="347"/>
      <c r="L5" s="348" t="s">
        <v>74</v>
      </c>
      <c r="M5" s="345"/>
      <c r="N5" s="344" t="str">
        <f>A15</f>
        <v>NRC</v>
      </c>
      <c r="O5" s="345"/>
      <c r="P5" s="129" t="s">
        <v>31</v>
      </c>
      <c r="Q5" s="129" t="s">
        <v>73</v>
      </c>
      <c r="R5" s="128" t="s">
        <v>31</v>
      </c>
      <c r="S5" s="128" t="s">
        <v>73</v>
      </c>
      <c r="T5" s="346" t="s">
        <v>74</v>
      </c>
      <c r="U5" s="347"/>
      <c r="V5" s="348" t="s">
        <v>74</v>
      </c>
      <c r="W5" s="345"/>
      <c r="X5" s="344" t="str">
        <f>F5</f>
        <v>SBC</v>
      </c>
      <c r="Y5" s="345"/>
      <c r="Z5" s="129" t="s">
        <v>31</v>
      </c>
      <c r="AA5" s="129" t="s">
        <v>73</v>
      </c>
      <c r="AB5" s="128" t="s">
        <v>31</v>
      </c>
      <c r="AC5" s="128" t="s">
        <v>73</v>
      </c>
      <c r="AD5" s="346" t="s">
        <v>74</v>
      </c>
      <c r="AE5" s="347"/>
      <c r="AF5" s="348" t="s">
        <v>74</v>
      </c>
      <c r="AG5" s="345"/>
      <c r="AH5" s="344" t="str">
        <f>N5</f>
        <v>NRC</v>
      </c>
      <c r="AI5" s="345"/>
      <c r="AJ5" s="129" t="s">
        <v>31</v>
      </c>
      <c r="AK5" s="129" t="s">
        <v>73</v>
      </c>
      <c r="AL5" s="128" t="s">
        <v>31</v>
      </c>
      <c r="AM5" s="128" t="s">
        <v>73</v>
      </c>
      <c r="AN5" s="346" t="s">
        <v>74</v>
      </c>
      <c r="AO5" s="347"/>
      <c r="AP5" s="348" t="s">
        <v>74</v>
      </c>
      <c r="AQ5" s="345"/>
      <c r="AR5" s="344" t="str">
        <f>F5</f>
        <v>SBC</v>
      </c>
      <c r="AS5" s="345"/>
      <c r="AT5" s="129" t="s">
        <v>31</v>
      </c>
      <c r="AU5" s="129" t="s">
        <v>73</v>
      </c>
      <c r="AV5" s="128" t="s">
        <v>31</v>
      </c>
      <c r="AW5" s="128" t="s">
        <v>73</v>
      </c>
      <c r="AX5" s="346" t="s">
        <v>74</v>
      </c>
      <c r="AY5" s="347"/>
      <c r="AZ5" s="348" t="s">
        <v>74</v>
      </c>
      <c r="BA5" s="345"/>
      <c r="BB5" s="344" t="str">
        <f>N5</f>
        <v>NRC</v>
      </c>
      <c r="BC5" s="345"/>
      <c r="BD5" s="129" t="s">
        <v>31</v>
      </c>
      <c r="BE5" s="129" t="s">
        <v>73</v>
      </c>
      <c r="BF5" s="128" t="s">
        <v>31</v>
      </c>
      <c r="BG5" s="128" t="s">
        <v>73</v>
      </c>
      <c r="BH5" s="346" t="s">
        <v>74</v>
      </c>
      <c r="BI5" s="347"/>
      <c r="BJ5" s="348" t="s">
        <v>74</v>
      </c>
      <c r="BK5" s="345"/>
      <c r="BL5" s="130" t="s">
        <v>75</v>
      </c>
      <c r="BM5" s="131" t="s">
        <v>76</v>
      </c>
      <c r="BN5" s="132" t="s">
        <v>77</v>
      </c>
      <c r="BO5" s="132" t="s">
        <v>78</v>
      </c>
      <c r="BP5" s="132" t="s">
        <v>79</v>
      </c>
      <c r="BQ5" s="132" t="s">
        <v>80</v>
      </c>
      <c r="BR5" s="133" t="s">
        <v>81</v>
      </c>
      <c r="BS5" s="114"/>
      <c r="BT5" s="134" t="s">
        <v>82</v>
      </c>
      <c r="BU5" s="135" t="s">
        <v>83</v>
      </c>
      <c r="BV5" s="135" t="s">
        <v>84</v>
      </c>
      <c r="BW5" s="135"/>
      <c r="BX5" s="125"/>
      <c r="BY5" s="125"/>
      <c r="BZ5" s="125"/>
      <c r="CA5" s="135"/>
      <c r="CB5" s="125"/>
      <c r="CC5" s="136" t="s">
        <v>31</v>
      </c>
      <c r="CD5" s="137" t="s">
        <v>73</v>
      </c>
      <c r="CE5" s="137" t="s">
        <v>74</v>
      </c>
      <c r="CF5" s="138" t="s">
        <v>85</v>
      </c>
      <c r="CG5" s="114"/>
      <c r="CH5" s="114"/>
      <c r="CI5" s="139" t="s">
        <v>86</v>
      </c>
    </row>
    <row r="6" spans="1:91" ht="15" customHeight="1" thickTop="1" x14ac:dyDescent="0.15">
      <c r="A6" s="353"/>
      <c r="B6" s="349" t="str">
        <f>IF(【準備】登録!$D$11=0,"",【準備】登録!$D$11)</f>
        <v>森田　憲</v>
      </c>
      <c r="C6" s="350"/>
      <c r="D6" s="351"/>
      <c r="E6" s="140">
        <f>【準備】登録!F11</f>
        <v>180</v>
      </c>
      <c r="F6" s="337">
        <f>IF(【進行】結果入力表!F7="","",【進行】結果入力表!F7)</f>
        <v>154</v>
      </c>
      <c r="G6" s="338"/>
      <c r="H6" s="141">
        <f t="shared" ref="H6:H13" si="0">IF(F6="","",IF(F6="w",1,0))</f>
        <v>0</v>
      </c>
      <c r="I6" s="141">
        <f t="shared" ref="I6:I13" si="1">IF(F6="","",IF(F6="w",0,1))</f>
        <v>1</v>
      </c>
      <c r="J6" s="339">
        <f t="shared" ref="J6:J13" si="2">IF(F6="","",IF(F6="w",E6,F6))</f>
        <v>154</v>
      </c>
      <c r="K6" s="340"/>
      <c r="L6" s="341">
        <f t="shared" ref="L6:L13" si="3">IF($F6="","",J6/$E6*180)</f>
        <v>154</v>
      </c>
      <c r="M6" s="343"/>
      <c r="N6" s="337" t="str">
        <f>IF(【進行】結果入力表!F15="","",【進行】結果入力表!F15)</f>
        <v>w</v>
      </c>
      <c r="O6" s="338"/>
      <c r="P6" s="142">
        <f t="shared" ref="P6:P13" si="4">IF(N6="","",IF(N6="w",1,0))</f>
        <v>1</v>
      </c>
      <c r="Q6" s="142">
        <f t="shared" ref="Q6:Q13" si="5">IF(N6="","",IF(N6="w",0,1))</f>
        <v>0</v>
      </c>
      <c r="R6" s="141">
        <f t="shared" ref="R6:R13" si="6">IF(N6="","",SUM(H6,P6))</f>
        <v>1</v>
      </c>
      <c r="S6" s="141">
        <f t="shared" ref="S6:S13" si="7">IF(N6="","",SUM(I6,Q6))</f>
        <v>1</v>
      </c>
      <c r="T6" s="339">
        <f t="shared" ref="T6:T13" si="8">IF(N6="","",IF(N6="w",E6+J6,N6+J6))</f>
        <v>334</v>
      </c>
      <c r="U6" s="340"/>
      <c r="V6" s="341">
        <f t="shared" ref="V6:V13" si="9">IF($N6="","",T6/$E6*180)</f>
        <v>334</v>
      </c>
      <c r="W6" s="343"/>
      <c r="X6" s="337">
        <f>IF(【進行】結果入力表!F33="","",【進行】結果入力表!F33)</f>
        <v>66</v>
      </c>
      <c r="Y6" s="338"/>
      <c r="Z6" s="142">
        <f t="shared" ref="Z6:Z13" si="10">IF(X6="","",IF(X6="w",1,0))</f>
        <v>0</v>
      </c>
      <c r="AA6" s="142">
        <f t="shared" ref="AA6:AA13" si="11">IF(X6="","",IF(X6="w",0,1))</f>
        <v>1</v>
      </c>
      <c r="AB6" s="141">
        <f t="shared" ref="AB6:AB13" si="12">IF(X6="","",SUM(R6,Z6))</f>
        <v>1</v>
      </c>
      <c r="AC6" s="141">
        <f t="shared" ref="AC6:AC13" si="13">IF(X6="","",SUM(S6,AA6))</f>
        <v>2</v>
      </c>
      <c r="AD6" s="339">
        <f t="shared" ref="AD6:AD13" si="14">IF(X6="","",IF(X6="w",T6+E6,X6+T6))</f>
        <v>400</v>
      </c>
      <c r="AE6" s="340"/>
      <c r="AF6" s="341">
        <f t="shared" ref="AF6:AF13" si="15">IF($X6="","",AD6/$E6*180)</f>
        <v>400</v>
      </c>
      <c r="AG6" s="343"/>
      <c r="AH6" s="337" t="str">
        <f>IF(【進行】結果入力表!F41="","",【進行】結果入力表!F41)</f>
        <v>w</v>
      </c>
      <c r="AI6" s="338"/>
      <c r="AJ6" s="142">
        <f t="shared" ref="AJ6:AJ13" si="16">IF(AH6="","",IF(AH6="w",1,0))</f>
        <v>1</v>
      </c>
      <c r="AK6" s="142">
        <f t="shared" ref="AK6:AK13" si="17">IF(AH6="","",IF(AH6="w",0,1))</f>
        <v>0</v>
      </c>
      <c r="AL6" s="141">
        <f t="shared" ref="AL6:AL13" si="18">IF(AH6="","",SUM(AB6,AJ6))</f>
        <v>2</v>
      </c>
      <c r="AM6" s="141">
        <f t="shared" ref="AM6:AM13" si="19">IF(AH6="","",SUM(AC6,AK6))</f>
        <v>2</v>
      </c>
      <c r="AN6" s="339">
        <f t="shared" ref="AN6:AN13" si="20">IF(AH6="","",IF(AH6="w",AD6+E6,AH6+AD6))</f>
        <v>580</v>
      </c>
      <c r="AO6" s="340"/>
      <c r="AP6" s="341">
        <f t="shared" ref="AP6:AP13" si="21">IF($AH6="","",AN6/$E6*180)</f>
        <v>580</v>
      </c>
      <c r="AQ6" s="343"/>
      <c r="AR6" s="337" t="str">
        <f>IF(【進行】結果入力表!F59="","",【進行】結果入力表!F59)</f>
        <v>w</v>
      </c>
      <c r="AS6" s="338"/>
      <c r="AT6" s="142">
        <f t="shared" ref="AT6:AT13" si="22">IF(AR6="","",IF(AR6="w",1,0))</f>
        <v>1</v>
      </c>
      <c r="AU6" s="142">
        <f t="shared" ref="AU6:AU13" si="23">IF(AR6="","",IF(AR6="w",0,1))</f>
        <v>0</v>
      </c>
      <c r="AV6" s="141">
        <f t="shared" ref="AV6:AV13" si="24">IF(AR6="","",IF(AR6="w",AL6+1,AL6))</f>
        <v>3</v>
      </c>
      <c r="AW6" s="141">
        <f t="shared" ref="AW6:AW13" si="25">IF(AR6="","",IF(AR6="w",AM6,AM6+1))</f>
        <v>2</v>
      </c>
      <c r="AX6" s="339">
        <f t="shared" ref="AX6:AX13" si="26">IF(AR6="","",IF(AR6="w",AN6+E6,AR6+AN6))</f>
        <v>760</v>
      </c>
      <c r="AY6" s="340"/>
      <c r="AZ6" s="341">
        <f t="shared" ref="AZ6:AZ13" si="27">IF($AR6="","",AX6/$E6*180)</f>
        <v>760</v>
      </c>
      <c r="BA6" s="342"/>
      <c r="BB6" s="337" t="str">
        <f>IF(【進行】結果入力表!F67="","",【進行】結果入力表!F67)</f>
        <v>w</v>
      </c>
      <c r="BC6" s="338"/>
      <c r="BD6" s="142">
        <f t="shared" ref="BD6:BD13" si="28">IF(BB6="","",IF(BB6="w",1,0))</f>
        <v>1</v>
      </c>
      <c r="BE6" s="142">
        <f t="shared" ref="BE6:BE13" si="29">IF(BB6="","",IF(BB6="w",0,1))</f>
        <v>0</v>
      </c>
      <c r="BF6" s="141">
        <f t="shared" ref="BF6:BF13" si="30">IF(BB6="","",IF(BB6="w",AV6+1,AV6))</f>
        <v>4</v>
      </c>
      <c r="BG6" s="141">
        <f t="shared" ref="BG6:BG13" si="31">IF(BB6="","",IF(BB6="w",AW6,AW6+1))</f>
        <v>2</v>
      </c>
      <c r="BH6" s="339">
        <f t="shared" ref="BH6:BH13" si="32">IF(BB6="","",IF(BB6="w",AX6+E6,BB6+AX6))</f>
        <v>940</v>
      </c>
      <c r="BI6" s="340"/>
      <c r="BJ6" s="341">
        <f t="shared" ref="BJ6:BJ13" si="33">IF($BB6="","",BH6/$E6*180)</f>
        <v>940</v>
      </c>
      <c r="BK6" s="338"/>
      <c r="BL6" s="143">
        <f t="shared" ref="BL6:BL13" si="34">IF(SUM(H6:I6,R6:S6)=0,"",IF(B$13="",RANK($CF$6:$CF$12,$CF$6:$CF$12,0),RANK($CF$6:$CF$13,$CF$6:$CF$13,0)))</f>
        <v>2</v>
      </c>
      <c r="BM6" s="144" t="str">
        <f>IF(【進行】結果入力表!E7="","",【進行】結果入力表!E7)</f>
        <v/>
      </c>
      <c r="BN6" s="145" t="str">
        <f>IF(【進行】結果入力表!E15="","",【進行】結果入力表!E15)</f>
        <v/>
      </c>
      <c r="BO6" s="145" t="str">
        <f>IF(【進行】結果入力表!E33="","",【進行】結果入力表!E33)</f>
        <v/>
      </c>
      <c r="BP6" s="145" t="str">
        <f>IF(【進行】結果入力表!E41="","",【進行】結果入力表!E41)</f>
        <v/>
      </c>
      <c r="BQ6" s="145" t="str">
        <f>IF(【進行】結果入力表!E59="","",【進行】結果入力表!E59)</f>
        <v/>
      </c>
      <c r="BR6" s="146">
        <f>IF(【進行】結果入力表!E67="","",【進行】結果入力表!E67)</f>
        <v>117</v>
      </c>
      <c r="BS6" s="114"/>
      <c r="BT6" s="125">
        <f t="shared" ref="BT6:BU13" si="35">COUNTIF($BM6:$BR6,BT$5)</f>
        <v>0</v>
      </c>
      <c r="BU6" s="125">
        <f t="shared" si="35"/>
        <v>0</v>
      </c>
      <c r="BV6" s="125">
        <f t="shared" ref="BV6:BV13" si="36">MAX($BM6:$BR6)</f>
        <v>117</v>
      </c>
      <c r="BW6" s="125">
        <f t="shared" ref="BW6:BW13" si="37">BT6*10000+BU6*1000+BV6</f>
        <v>117</v>
      </c>
      <c r="BX6" s="125">
        <f t="shared" ref="BX6:BX13" si="38">RANK(BW6,$BW$6:$BW$33)</f>
        <v>4</v>
      </c>
      <c r="BY6" s="125" t="str">
        <f t="shared" ref="BY6:BY13" si="39">B6</f>
        <v>森田　憲</v>
      </c>
      <c r="BZ6" s="125" t="str">
        <f t="shared" ref="BZ6:BZ13" si="40">$A$5</f>
        <v>WRC</v>
      </c>
      <c r="CA6" s="125">
        <f t="shared" ref="CA6:CA13" si="41">IF(BT6&gt;0,"A"&amp;E6,IF(BU6&gt;0,"B"&amp;E6,BV6))</f>
        <v>117</v>
      </c>
      <c r="CB6" s="125"/>
      <c r="CC6" s="147">
        <f t="shared" ref="CC6:CC12" si="42">COUNTIF(F6:BC6,"w")</f>
        <v>4</v>
      </c>
      <c r="CD6" s="148">
        <f t="shared" ref="CD6:CD12" si="43">COUNT(F6,N6,AH6,X6,AR6,BB6)</f>
        <v>2</v>
      </c>
      <c r="CE6" s="149">
        <f t="shared" ref="CE6:CE12" si="44">CC6*180+SUM(F6,N6,AH6,X6,AR6,BB6)*180/E6</f>
        <v>940</v>
      </c>
      <c r="CF6" s="150">
        <f t="shared" ref="CF6:CF12" si="45">CC6*100000+CE6</f>
        <v>400940</v>
      </c>
      <c r="CG6" s="114"/>
      <c r="CH6" s="151">
        <f>RANK(CK6,CK6:CK8,1)</f>
        <v>1</v>
      </c>
      <c r="CI6" s="151" t="str">
        <f>A5</f>
        <v>WRC</v>
      </c>
      <c r="CJ6" s="151" t="str">
        <f>VLOOKUP(1,BL6:CF13,14,FALSE)</f>
        <v>杉本　博章</v>
      </c>
      <c r="CK6" s="151">
        <f>VLOOKUP(1,BL6:CF13,13,FALSE)</f>
        <v>1</v>
      </c>
      <c r="CM6" s="151"/>
    </row>
    <row r="7" spans="1:91" ht="15" customHeight="1" x14ac:dyDescent="0.15">
      <c r="A7" s="353"/>
      <c r="B7" s="334" t="str">
        <f>IF(【準備】登録!$D$11=0,"",【準備】登録!$G$11)</f>
        <v>和田　宗一郎</v>
      </c>
      <c r="C7" s="335"/>
      <c r="D7" s="336"/>
      <c r="E7" s="152">
        <f>【準備】登録!I11</f>
        <v>180</v>
      </c>
      <c r="F7" s="326">
        <f>IF(【進行】結果入力表!F8="","",【進行】結果入力表!F8)</f>
        <v>115</v>
      </c>
      <c r="G7" s="327"/>
      <c r="H7" s="153">
        <f t="shared" si="0"/>
        <v>0</v>
      </c>
      <c r="I7" s="153">
        <f t="shared" si="1"/>
        <v>1</v>
      </c>
      <c r="J7" s="328">
        <f t="shared" si="2"/>
        <v>115</v>
      </c>
      <c r="K7" s="329"/>
      <c r="L7" s="324">
        <f t="shared" si="3"/>
        <v>114.99999999999999</v>
      </c>
      <c r="M7" s="333"/>
      <c r="N7" s="326">
        <f>IF(【進行】結果入力表!F16="","",【進行】結果入力表!F16)</f>
        <v>31</v>
      </c>
      <c r="O7" s="327"/>
      <c r="P7" s="154">
        <f t="shared" si="4"/>
        <v>0</v>
      </c>
      <c r="Q7" s="154">
        <f t="shared" si="5"/>
        <v>1</v>
      </c>
      <c r="R7" s="153">
        <f t="shared" si="6"/>
        <v>0</v>
      </c>
      <c r="S7" s="153">
        <f t="shared" si="7"/>
        <v>2</v>
      </c>
      <c r="T7" s="328">
        <f t="shared" si="8"/>
        <v>146</v>
      </c>
      <c r="U7" s="329"/>
      <c r="V7" s="324">
        <f t="shared" si="9"/>
        <v>146</v>
      </c>
      <c r="W7" s="333"/>
      <c r="X7" s="326">
        <f>IF(【進行】結果入力表!F34="","",【進行】結果入力表!F34)</f>
        <v>137</v>
      </c>
      <c r="Y7" s="327"/>
      <c r="Z7" s="154">
        <f t="shared" si="10"/>
        <v>0</v>
      </c>
      <c r="AA7" s="154">
        <f t="shared" si="11"/>
        <v>1</v>
      </c>
      <c r="AB7" s="153">
        <f t="shared" si="12"/>
        <v>0</v>
      </c>
      <c r="AC7" s="153">
        <f t="shared" si="13"/>
        <v>3</v>
      </c>
      <c r="AD7" s="328">
        <f t="shared" si="14"/>
        <v>283</v>
      </c>
      <c r="AE7" s="329"/>
      <c r="AF7" s="324">
        <f t="shared" si="15"/>
        <v>283</v>
      </c>
      <c r="AG7" s="333"/>
      <c r="AH7" s="326" t="str">
        <f>IF(【進行】結果入力表!F42="","",【進行】結果入力表!F42)</f>
        <v>w</v>
      </c>
      <c r="AI7" s="327"/>
      <c r="AJ7" s="154">
        <f t="shared" si="16"/>
        <v>1</v>
      </c>
      <c r="AK7" s="154">
        <f t="shared" si="17"/>
        <v>0</v>
      </c>
      <c r="AL7" s="153">
        <f t="shared" si="18"/>
        <v>1</v>
      </c>
      <c r="AM7" s="153">
        <f t="shared" si="19"/>
        <v>3</v>
      </c>
      <c r="AN7" s="328">
        <f t="shared" si="20"/>
        <v>463</v>
      </c>
      <c r="AO7" s="329"/>
      <c r="AP7" s="324">
        <f t="shared" si="21"/>
        <v>463.00000000000006</v>
      </c>
      <c r="AQ7" s="333"/>
      <c r="AR7" s="326" t="str">
        <f>IF(【進行】結果入力表!F60="","",【進行】結果入力表!F60)</f>
        <v>w</v>
      </c>
      <c r="AS7" s="327"/>
      <c r="AT7" s="154">
        <f t="shared" si="22"/>
        <v>1</v>
      </c>
      <c r="AU7" s="154">
        <f t="shared" si="23"/>
        <v>0</v>
      </c>
      <c r="AV7" s="153">
        <f t="shared" si="24"/>
        <v>2</v>
      </c>
      <c r="AW7" s="153">
        <f t="shared" si="25"/>
        <v>3</v>
      </c>
      <c r="AX7" s="328">
        <f t="shared" si="26"/>
        <v>643</v>
      </c>
      <c r="AY7" s="329"/>
      <c r="AZ7" s="324">
        <f t="shared" si="27"/>
        <v>643</v>
      </c>
      <c r="BA7" s="325"/>
      <c r="BB7" s="326" t="str">
        <f>IF(【進行】結果入力表!F68="","",【進行】結果入力表!F68)</f>
        <v>w</v>
      </c>
      <c r="BC7" s="327"/>
      <c r="BD7" s="154">
        <f t="shared" si="28"/>
        <v>1</v>
      </c>
      <c r="BE7" s="154">
        <f t="shared" si="29"/>
        <v>0</v>
      </c>
      <c r="BF7" s="153">
        <f t="shared" si="30"/>
        <v>3</v>
      </c>
      <c r="BG7" s="153">
        <f t="shared" si="31"/>
        <v>3</v>
      </c>
      <c r="BH7" s="328">
        <f t="shared" si="32"/>
        <v>823</v>
      </c>
      <c r="BI7" s="329"/>
      <c r="BJ7" s="324">
        <f t="shared" si="33"/>
        <v>823</v>
      </c>
      <c r="BK7" s="327"/>
      <c r="BL7" s="155">
        <f t="shared" si="34"/>
        <v>4</v>
      </c>
      <c r="BM7" s="156" t="str">
        <f>IF(【進行】結果入力表!E8="","",【進行】結果入力表!E8)</f>
        <v/>
      </c>
      <c r="BN7" s="157" t="str">
        <f>IF(【進行】結果入力表!E16="","",【進行】結果入力表!E16)</f>
        <v/>
      </c>
      <c r="BO7" s="157" t="str">
        <f>IF(【進行】結果入力表!E34="","",【進行】結果入力表!E34)</f>
        <v/>
      </c>
      <c r="BP7" s="157" t="str">
        <f>IF(【進行】結果入力表!E42="","",【進行】結果入力表!E42)</f>
        <v/>
      </c>
      <c r="BQ7" s="157" t="str">
        <f>IF(【進行】結果入力表!E60="","",【進行】結果入力表!E60)</f>
        <v/>
      </c>
      <c r="BR7" s="158" t="str">
        <f>IF(【進行】結果入力表!E68="","",【進行】結果入力表!E68)</f>
        <v/>
      </c>
      <c r="BS7" s="114"/>
      <c r="BT7" s="125">
        <f t="shared" si="35"/>
        <v>0</v>
      </c>
      <c r="BU7" s="125">
        <f t="shared" si="35"/>
        <v>0</v>
      </c>
      <c r="BV7" s="125">
        <f t="shared" si="36"/>
        <v>0</v>
      </c>
      <c r="BW7" s="125">
        <f t="shared" si="37"/>
        <v>0</v>
      </c>
      <c r="BX7" s="125">
        <f t="shared" si="38"/>
        <v>10</v>
      </c>
      <c r="BY7" s="125" t="str">
        <f t="shared" si="39"/>
        <v>和田　宗一郎</v>
      </c>
      <c r="BZ7" s="125" t="str">
        <f t="shared" si="40"/>
        <v>WRC</v>
      </c>
      <c r="CA7" s="125">
        <f t="shared" si="41"/>
        <v>0</v>
      </c>
      <c r="CB7" s="125"/>
      <c r="CC7" s="147">
        <f t="shared" si="42"/>
        <v>3</v>
      </c>
      <c r="CD7" s="148">
        <f t="shared" si="43"/>
        <v>3</v>
      </c>
      <c r="CE7" s="149">
        <f t="shared" si="44"/>
        <v>823</v>
      </c>
      <c r="CF7" s="150">
        <f t="shared" si="45"/>
        <v>300823</v>
      </c>
      <c r="CG7" s="114"/>
      <c r="CH7" s="151">
        <f>RANK(CK7,CK6:CK8,1)</f>
        <v>3</v>
      </c>
      <c r="CI7" s="151" t="str">
        <f>A15</f>
        <v>NRC</v>
      </c>
      <c r="CJ7" s="151" t="str">
        <f>VLOOKUP(1,BL16:CF23,14,FALSE)</f>
        <v>吉向　翔平</v>
      </c>
      <c r="CK7" s="151">
        <f>VLOOKUP(1,BL16:CF23,13,FALSE)</f>
        <v>10</v>
      </c>
      <c r="CM7" s="151"/>
    </row>
    <row r="8" spans="1:91" ht="15" customHeight="1" x14ac:dyDescent="0.15">
      <c r="A8" s="353"/>
      <c r="B8" s="334" t="str">
        <f>IF(【準備】登録!$D$11=0,"",【準備】登録!$J$11)</f>
        <v>杉本　博章</v>
      </c>
      <c r="C8" s="335"/>
      <c r="D8" s="336"/>
      <c r="E8" s="152">
        <f>【準備】登録!L11</f>
        <v>180</v>
      </c>
      <c r="F8" s="326">
        <f>IF(【進行】結果入力表!F9="","",【進行】結果入力表!F9)</f>
        <v>127</v>
      </c>
      <c r="G8" s="327"/>
      <c r="H8" s="159">
        <f t="shared" si="0"/>
        <v>0</v>
      </c>
      <c r="I8" s="159">
        <f t="shared" si="1"/>
        <v>1</v>
      </c>
      <c r="J8" s="328">
        <f t="shared" si="2"/>
        <v>127</v>
      </c>
      <c r="K8" s="329"/>
      <c r="L8" s="324">
        <f t="shared" si="3"/>
        <v>127.00000000000001</v>
      </c>
      <c r="M8" s="333"/>
      <c r="N8" s="326" t="str">
        <f>IF(【進行】結果入力表!F17="","",【進行】結果入力表!F17)</f>
        <v>w</v>
      </c>
      <c r="O8" s="327"/>
      <c r="P8" s="160">
        <f t="shared" si="4"/>
        <v>1</v>
      </c>
      <c r="Q8" s="160">
        <f t="shared" si="5"/>
        <v>0</v>
      </c>
      <c r="R8" s="159">
        <f t="shared" si="6"/>
        <v>1</v>
      </c>
      <c r="S8" s="159">
        <f t="shared" si="7"/>
        <v>1</v>
      </c>
      <c r="T8" s="328">
        <f t="shared" si="8"/>
        <v>307</v>
      </c>
      <c r="U8" s="329"/>
      <c r="V8" s="324">
        <f t="shared" si="9"/>
        <v>307</v>
      </c>
      <c r="W8" s="333"/>
      <c r="X8" s="326" t="str">
        <f>IF(【進行】結果入力表!F35="","",【進行】結果入力表!F35)</f>
        <v>w</v>
      </c>
      <c r="Y8" s="327"/>
      <c r="Z8" s="160">
        <f t="shared" si="10"/>
        <v>1</v>
      </c>
      <c r="AA8" s="160">
        <f t="shared" si="11"/>
        <v>0</v>
      </c>
      <c r="AB8" s="159">
        <f t="shared" si="12"/>
        <v>2</v>
      </c>
      <c r="AC8" s="159">
        <f t="shared" si="13"/>
        <v>1</v>
      </c>
      <c r="AD8" s="328">
        <f t="shared" si="14"/>
        <v>487</v>
      </c>
      <c r="AE8" s="329"/>
      <c r="AF8" s="324">
        <f t="shared" si="15"/>
        <v>487</v>
      </c>
      <c r="AG8" s="333"/>
      <c r="AH8" s="326" t="str">
        <f>IF(【進行】結果入力表!F43="","",【進行】結果入力表!F43)</f>
        <v>w</v>
      </c>
      <c r="AI8" s="327"/>
      <c r="AJ8" s="160">
        <f t="shared" si="16"/>
        <v>1</v>
      </c>
      <c r="AK8" s="160">
        <f t="shared" si="17"/>
        <v>0</v>
      </c>
      <c r="AL8" s="159">
        <f t="shared" si="18"/>
        <v>3</v>
      </c>
      <c r="AM8" s="159">
        <f t="shared" si="19"/>
        <v>1</v>
      </c>
      <c r="AN8" s="328">
        <f t="shared" si="20"/>
        <v>667</v>
      </c>
      <c r="AO8" s="329"/>
      <c r="AP8" s="324">
        <f t="shared" si="21"/>
        <v>667</v>
      </c>
      <c r="AQ8" s="333"/>
      <c r="AR8" s="326" t="str">
        <f>IF(【進行】結果入力表!F61="","",【進行】結果入力表!F61)</f>
        <v>w</v>
      </c>
      <c r="AS8" s="327"/>
      <c r="AT8" s="160">
        <f t="shared" si="22"/>
        <v>1</v>
      </c>
      <c r="AU8" s="160">
        <f t="shared" si="23"/>
        <v>0</v>
      </c>
      <c r="AV8" s="159">
        <f t="shared" si="24"/>
        <v>4</v>
      </c>
      <c r="AW8" s="159">
        <f t="shared" si="25"/>
        <v>1</v>
      </c>
      <c r="AX8" s="328">
        <f t="shared" si="26"/>
        <v>847</v>
      </c>
      <c r="AY8" s="329"/>
      <c r="AZ8" s="324">
        <f t="shared" si="27"/>
        <v>847</v>
      </c>
      <c r="BA8" s="325"/>
      <c r="BB8" s="326" t="str">
        <f>IF(【進行】結果入力表!F69="","",【進行】結果入力表!F69)</f>
        <v>w</v>
      </c>
      <c r="BC8" s="327"/>
      <c r="BD8" s="160">
        <f t="shared" si="28"/>
        <v>1</v>
      </c>
      <c r="BE8" s="160">
        <f t="shared" si="29"/>
        <v>0</v>
      </c>
      <c r="BF8" s="159">
        <f t="shared" si="30"/>
        <v>5</v>
      </c>
      <c r="BG8" s="159">
        <f t="shared" si="31"/>
        <v>1</v>
      </c>
      <c r="BH8" s="328">
        <f t="shared" si="32"/>
        <v>1027</v>
      </c>
      <c r="BI8" s="329"/>
      <c r="BJ8" s="324">
        <f t="shared" si="33"/>
        <v>1027</v>
      </c>
      <c r="BK8" s="327"/>
      <c r="BL8" s="161">
        <f t="shared" si="34"/>
        <v>1</v>
      </c>
      <c r="BM8" s="156" t="str">
        <f>IF(【進行】結果入力表!E9="","",【進行】結果入力表!E9)</f>
        <v/>
      </c>
      <c r="BN8" s="157" t="str">
        <f>IF(【進行】結果入力表!E17="","",【進行】結果入力表!E17)</f>
        <v/>
      </c>
      <c r="BO8" s="157" t="str">
        <f>IF(【進行】結果入力表!E35="","",【進行】結果入力表!E35)</f>
        <v/>
      </c>
      <c r="BP8" s="157">
        <f>IF(【進行】結果入力表!E43="","",【進行】結果入力表!E43)</f>
        <v>127</v>
      </c>
      <c r="BQ8" s="157" t="str">
        <f>IF(【進行】結果入力表!E61="","",【進行】結果入力表!E61)</f>
        <v/>
      </c>
      <c r="BR8" s="158" t="str">
        <f>IF(【進行】結果入力表!E69="","",【進行】結果入力表!E69)</f>
        <v/>
      </c>
      <c r="BS8" s="114"/>
      <c r="BT8" s="125">
        <f t="shared" si="35"/>
        <v>0</v>
      </c>
      <c r="BU8" s="125">
        <f t="shared" si="35"/>
        <v>0</v>
      </c>
      <c r="BV8" s="125">
        <f t="shared" si="36"/>
        <v>127</v>
      </c>
      <c r="BW8" s="125">
        <f t="shared" si="37"/>
        <v>127</v>
      </c>
      <c r="BX8" s="125">
        <f t="shared" si="38"/>
        <v>1</v>
      </c>
      <c r="BY8" s="125" t="str">
        <f t="shared" si="39"/>
        <v>杉本　博章</v>
      </c>
      <c r="BZ8" s="125" t="str">
        <f t="shared" si="40"/>
        <v>WRC</v>
      </c>
      <c r="CA8" s="125">
        <f t="shared" si="41"/>
        <v>127</v>
      </c>
      <c r="CB8" s="125"/>
      <c r="CC8" s="147">
        <f t="shared" si="42"/>
        <v>5</v>
      </c>
      <c r="CD8" s="148">
        <f t="shared" si="43"/>
        <v>1</v>
      </c>
      <c r="CE8" s="149">
        <f t="shared" si="44"/>
        <v>1027</v>
      </c>
      <c r="CF8" s="150">
        <f t="shared" si="45"/>
        <v>501027</v>
      </c>
      <c r="CG8" s="114"/>
      <c r="CH8" s="151">
        <f>RANK(CK8,CK6:CK8,1)</f>
        <v>2</v>
      </c>
      <c r="CI8" s="151" t="str">
        <f>A25</f>
        <v>SBC</v>
      </c>
      <c r="CJ8" s="151" t="str">
        <f>VLOOKUP(1,BL26:CF33,14,FALSE)</f>
        <v>大橋　義治</v>
      </c>
      <c r="CK8" s="151">
        <f>VLOOKUP(1,BL26:CF33,13,FALSE)</f>
        <v>2</v>
      </c>
      <c r="CM8" s="151"/>
    </row>
    <row r="9" spans="1:91" ht="15" customHeight="1" x14ac:dyDescent="0.15">
      <c r="A9" s="353"/>
      <c r="B9" s="334" t="str">
        <f>IF(【準備】登録!$D$11=0,"",【準備】登録!$M$11)</f>
        <v>末岡　修</v>
      </c>
      <c r="C9" s="335"/>
      <c r="D9" s="336"/>
      <c r="E9" s="152">
        <f>【準備】登録!O11</f>
        <v>180</v>
      </c>
      <c r="F9" s="326">
        <f>IF(【進行】結果入力表!F10="","",【進行】結果入力表!F10)</f>
        <v>93</v>
      </c>
      <c r="G9" s="327"/>
      <c r="H9" s="159">
        <f t="shared" si="0"/>
        <v>0</v>
      </c>
      <c r="I9" s="159">
        <f t="shared" si="1"/>
        <v>1</v>
      </c>
      <c r="J9" s="328">
        <f t="shared" si="2"/>
        <v>93</v>
      </c>
      <c r="K9" s="329"/>
      <c r="L9" s="324">
        <f t="shared" si="3"/>
        <v>93.000000000000014</v>
      </c>
      <c r="M9" s="333"/>
      <c r="N9" s="326">
        <f>IF(【進行】結果入力表!F18="","",【進行】結果入力表!F18)</f>
        <v>71</v>
      </c>
      <c r="O9" s="327"/>
      <c r="P9" s="160">
        <f t="shared" si="4"/>
        <v>0</v>
      </c>
      <c r="Q9" s="160">
        <f t="shared" si="5"/>
        <v>1</v>
      </c>
      <c r="R9" s="159">
        <f t="shared" si="6"/>
        <v>0</v>
      </c>
      <c r="S9" s="159">
        <f t="shared" si="7"/>
        <v>2</v>
      </c>
      <c r="T9" s="328">
        <f t="shared" si="8"/>
        <v>164</v>
      </c>
      <c r="U9" s="329"/>
      <c r="V9" s="324">
        <f t="shared" si="9"/>
        <v>164</v>
      </c>
      <c r="W9" s="333"/>
      <c r="X9" s="326">
        <f>IF(【進行】結果入力表!F36="","",【進行】結果入力表!F36)</f>
        <v>105</v>
      </c>
      <c r="Y9" s="327"/>
      <c r="Z9" s="160">
        <f t="shared" si="10"/>
        <v>0</v>
      </c>
      <c r="AA9" s="160">
        <f t="shared" si="11"/>
        <v>1</v>
      </c>
      <c r="AB9" s="159">
        <f t="shared" si="12"/>
        <v>0</v>
      </c>
      <c r="AC9" s="159">
        <f t="shared" si="13"/>
        <v>3</v>
      </c>
      <c r="AD9" s="328">
        <f t="shared" si="14"/>
        <v>269</v>
      </c>
      <c r="AE9" s="329"/>
      <c r="AF9" s="324">
        <f t="shared" si="15"/>
        <v>269</v>
      </c>
      <c r="AG9" s="333"/>
      <c r="AH9" s="326" t="str">
        <f>IF(【進行】結果入力表!F44="","",【進行】結果入力表!F44)</f>
        <v>w</v>
      </c>
      <c r="AI9" s="327"/>
      <c r="AJ9" s="160">
        <f t="shared" si="16"/>
        <v>1</v>
      </c>
      <c r="AK9" s="160">
        <f t="shared" si="17"/>
        <v>0</v>
      </c>
      <c r="AL9" s="159">
        <f t="shared" si="18"/>
        <v>1</v>
      </c>
      <c r="AM9" s="159">
        <f t="shared" si="19"/>
        <v>3</v>
      </c>
      <c r="AN9" s="328">
        <f t="shared" si="20"/>
        <v>449</v>
      </c>
      <c r="AO9" s="329"/>
      <c r="AP9" s="324">
        <f t="shared" si="21"/>
        <v>449</v>
      </c>
      <c r="AQ9" s="333"/>
      <c r="AR9" s="326">
        <f>IF(【進行】結果入力表!D$70="",IF(【進行】結果入力表!F55="","",【進行】結果入力表!F55),IF(【進行】結果入力表!F62="","",【進行】結果入力表!F62))</f>
        <v>114</v>
      </c>
      <c r="AS9" s="327"/>
      <c r="AT9" s="160">
        <f t="shared" si="22"/>
        <v>0</v>
      </c>
      <c r="AU9" s="160">
        <f t="shared" si="23"/>
        <v>1</v>
      </c>
      <c r="AV9" s="159">
        <f t="shared" si="24"/>
        <v>1</v>
      </c>
      <c r="AW9" s="159">
        <f t="shared" si="25"/>
        <v>4</v>
      </c>
      <c r="AX9" s="328">
        <f t="shared" si="26"/>
        <v>563</v>
      </c>
      <c r="AY9" s="329"/>
      <c r="AZ9" s="324">
        <f t="shared" si="27"/>
        <v>563</v>
      </c>
      <c r="BA9" s="325"/>
      <c r="BB9" s="326" t="str">
        <f>IF(【進行】結果入力表!D$70="",IF(【進行】結果入力表!F63="","",【進行】結果入力表!F63),IF(【進行】結果入力表!F70="","",【進行】結果入力表!F70))</f>
        <v>w</v>
      </c>
      <c r="BC9" s="327"/>
      <c r="BD9" s="160">
        <f t="shared" si="28"/>
        <v>1</v>
      </c>
      <c r="BE9" s="160">
        <f t="shared" si="29"/>
        <v>0</v>
      </c>
      <c r="BF9" s="159">
        <f t="shared" si="30"/>
        <v>2</v>
      </c>
      <c r="BG9" s="159">
        <f t="shared" si="31"/>
        <v>4</v>
      </c>
      <c r="BH9" s="328">
        <f t="shared" si="32"/>
        <v>743</v>
      </c>
      <c r="BI9" s="329"/>
      <c r="BJ9" s="324">
        <f t="shared" si="33"/>
        <v>743.00000000000011</v>
      </c>
      <c r="BK9" s="327"/>
      <c r="BL9" s="155">
        <f t="shared" si="34"/>
        <v>6</v>
      </c>
      <c r="BM9" s="156" t="str">
        <f>IF(【進行】結果入力表!E10="","",【進行】結果入力表!E10)</f>
        <v/>
      </c>
      <c r="BN9" s="157" t="str">
        <f>IF(【進行】結果入力表!E18="","",【進行】結果入力表!E18)</f>
        <v/>
      </c>
      <c r="BO9" s="157" t="str">
        <f>IF(【進行】結果入力表!E36="","",【進行】結果入力表!E36)</f>
        <v/>
      </c>
      <c r="BP9" s="157">
        <f>IF(【進行】結果入力表!E44="","",【進行】結果入力表!E44)</f>
        <v>103</v>
      </c>
      <c r="BQ9" s="157" t="str">
        <f>IF(【進行】結果入力表!D$70="",IF(【進行】結果入力表!E55="","",【進行】結果入力表!E55),IF(【進行】結果入力表!E62="","",【進行】結果入力表!E62))</f>
        <v/>
      </c>
      <c r="BR9" s="158" t="str">
        <f>IF(【進行】結果入力表!D$70="",IF(【進行】結果入力表!E63="","",【進行】結果入力表!E63),IF(【進行】結果入力表!E70="","",【進行】結果入力表!E70))</f>
        <v/>
      </c>
      <c r="BS9" s="114"/>
      <c r="BT9" s="125">
        <f t="shared" si="35"/>
        <v>0</v>
      </c>
      <c r="BU9" s="125">
        <f t="shared" si="35"/>
        <v>0</v>
      </c>
      <c r="BV9" s="125">
        <f t="shared" si="36"/>
        <v>103</v>
      </c>
      <c r="BW9" s="125">
        <f t="shared" si="37"/>
        <v>103</v>
      </c>
      <c r="BX9" s="125">
        <f t="shared" si="38"/>
        <v>8</v>
      </c>
      <c r="BY9" s="125" t="str">
        <f t="shared" si="39"/>
        <v>末岡　修</v>
      </c>
      <c r="BZ9" s="125" t="str">
        <f t="shared" si="40"/>
        <v>WRC</v>
      </c>
      <c r="CA9" s="125">
        <f t="shared" si="41"/>
        <v>103</v>
      </c>
      <c r="CB9" s="125"/>
      <c r="CC9" s="147">
        <f t="shared" si="42"/>
        <v>2</v>
      </c>
      <c r="CD9" s="148">
        <f t="shared" si="43"/>
        <v>4</v>
      </c>
      <c r="CE9" s="149">
        <f t="shared" si="44"/>
        <v>743</v>
      </c>
      <c r="CF9" s="150">
        <f t="shared" si="45"/>
        <v>200743</v>
      </c>
      <c r="CG9" s="114"/>
      <c r="CH9" s="114"/>
      <c r="CI9" s="151"/>
      <c r="CJ9" s="151"/>
      <c r="CK9" s="151"/>
      <c r="CL9" s="151"/>
      <c r="CM9" s="151"/>
    </row>
    <row r="10" spans="1:91" ht="15" customHeight="1" x14ac:dyDescent="0.15">
      <c r="A10" s="353"/>
      <c r="B10" s="334" t="str">
        <f>IF(【準備】登録!$D$11=0,"",【準備】登録!$P$11)</f>
        <v>中本　雅大</v>
      </c>
      <c r="C10" s="335"/>
      <c r="D10" s="336"/>
      <c r="E10" s="152">
        <f>【準備】登録!R11</f>
        <v>180</v>
      </c>
      <c r="F10" s="326">
        <f>IF(【進行】結果入力表!F11="","",【進行】結果入力表!F11)</f>
        <v>53</v>
      </c>
      <c r="G10" s="327"/>
      <c r="H10" s="159">
        <f t="shared" si="0"/>
        <v>0</v>
      </c>
      <c r="I10" s="159">
        <f t="shared" si="1"/>
        <v>1</v>
      </c>
      <c r="J10" s="328">
        <f t="shared" si="2"/>
        <v>53</v>
      </c>
      <c r="K10" s="329"/>
      <c r="L10" s="324">
        <f t="shared" si="3"/>
        <v>53</v>
      </c>
      <c r="M10" s="333"/>
      <c r="N10" s="326" t="str">
        <f>IF(【進行】結果入力表!F19="","",【進行】結果入力表!F19)</f>
        <v>w</v>
      </c>
      <c r="O10" s="327"/>
      <c r="P10" s="160">
        <f t="shared" si="4"/>
        <v>1</v>
      </c>
      <c r="Q10" s="160">
        <f t="shared" si="5"/>
        <v>0</v>
      </c>
      <c r="R10" s="159">
        <f t="shared" si="6"/>
        <v>1</v>
      </c>
      <c r="S10" s="159">
        <f t="shared" si="7"/>
        <v>1</v>
      </c>
      <c r="T10" s="328">
        <f t="shared" si="8"/>
        <v>233</v>
      </c>
      <c r="U10" s="329"/>
      <c r="V10" s="324">
        <f t="shared" si="9"/>
        <v>233</v>
      </c>
      <c r="W10" s="333"/>
      <c r="X10" s="326" t="str">
        <f>IF(【進行】結果入力表!F37="","",【進行】結果入力表!F37)</f>
        <v>w</v>
      </c>
      <c r="Y10" s="327"/>
      <c r="Z10" s="160">
        <f t="shared" si="10"/>
        <v>1</v>
      </c>
      <c r="AA10" s="160">
        <f t="shared" si="11"/>
        <v>0</v>
      </c>
      <c r="AB10" s="159">
        <f t="shared" si="12"/>
        <v>2</v>
      </c>
      <c r="AC10" s="159">
        <f t="shared" si="13"/>
        <v>1</v>
      </c>
      <c r="AD10" s="328">
        <f t="shared" si="14"/>
        <v>413</v>
      </c>
      <c r="AE10" s="329"/>
      <c r="AF10" s="324">
        <f t="shared" si="15"/>
        <v>413</v>
      </c>
      <c r="AG10" s="333"/>
      <c r="AH10" s="326" t="str">
        <f>IF(【進行】結果入力表!F45="","",【進行】結果入力表!F45)</f>
        <v>w</v>
      </c>
      <c r="AI10" s="327"/>
      <c r="AJ10" s="160">
        <f t="shared" si="16"/>
        <v>1</v>
      </c>
      <c r="AK10" s="160">
        <f t="shared" si="17"/>
        <v>0</v>
      </c>
      <c r="AL10" s="159">
        <f t="shared" si="18"/>
        <v>3</v>
      </c>
      <c r="AM10" s="159">
        <f t="shared" si="19"/>
        <v>1</v>
      </c>
      <c r="AN10" s="328">
        <f t="shared" si="20"/>
        <v>593</v>
      </c>
      <c r="AO10" s="329"/>
      <c r="AP10" s="324">
        <f t="shared" si="21"/>
        <v>593</v>
      </c>
      <c r="AQ10" s="333"/>
      <c r="AR10" s="326">
        <f>IF(【進行】結果入力表!D$62="",IF(【進行】結果入力表!F56="","",【進行】結果入力表!F56),IF(【進行】結果入力表!F55="","",【進行】結果入力表!F55))</f>
        <v>120</v>
      </c>
      <c r="AS10" s="327"/>
      <c r="AT10" s="160">
        <f t="shared" si="22"/>
        <v>0</v>
      </c>
      <c r="AU10" s="160">
        <f t="shared" si="23"/>
        <v>1</v>
      </c>
      <c r="AV10" s="159">
        <f t="shared" si="24"/>
        <v>3</v>
      </c>
      <c r="AW10" s="159">
        <f t="shared" si="25"/>
        <v>2</v>
      </c>
      <c r="AX10" s="328">
        <f t="shared" si="26"/>
        <v>713</v>
      </c>
      <c r="AY10" s="329"/>
      <c r="AZ10" s="324">
        <f t="shared" si="27"/>
        <v>713</v>
      </c>
      <c r="BA10" s="325"/>
      <c r="BB10" s="326">
        <f>IF(【進行】結果入力表!D$70="",IF(【進行】結果入力表!F64="","",【進行】結果入力表!F64),IF(【進行】結果入力表!F63="","",【進行】結果入力表!F63))</f>
        <v>39</v>
      </c>
      <c r="BC10" s="327"/>
      <c r="BD10" s="160">
        <f t="shared" si="28"/>
        <v>0</v>
      </c>
      <c r="BE10" s="160">
        <f t="shared" si="29"/>
        <v>1</v>
      </c>
      <c r="BF10" s="159">
        <f t="shared" si="30"/>
        <v>3</v>
      </c>
      <c r="BG10" s="159">
        <f t="shared" si="31"/>
        <v>3</v>
      </c>
      <c r="BH10" s="328">
        <f t="shared" si="32"/>
        <v>752</v>
      </c>
      <c r="BI10" s="329"/>
      <c r="BJ10" s="324">
        <f t="shared" si="33"/>
        <v>752</v>
      </c>
      <c r="BK10" s="327"/>
      <c r="BL10" s="161">
        <f t="shared" si="34"/>
        <v>5</v>
      </c>
      <c r="BM10" s="156" t="str">
        <f>IF(【進行】結果入力表!E11="","",【進行】結果入力表!E11)</f>
        <v/>
      </c>
      <c r="BN10" s="157" t="str">
        <f>IF(【進行】結果入力表!E19="","",【進行】結果入力表!E19)</f>
        <v/>
      </c>
      <c r="BO10" s="157" t="str">
        <f>IF(【進行】結果入力表!E37="","",【進行】結果入力表!E37)</f>
        <v/>
      </c>
      <c r="BP10" s="157" t="str">
        <f>IF(【進行】結果入力表!E45="","",【進行】結果入力表!E45)</f>
        <v/>
      </c>
      <c r="BQ10" s="157" t="str">
        <f>IF(【進行】結果入力表!D$62="",IF(【進行】結果入力表!E56="","",【進行】結果入力表!E56),IF(【進行】結果入力表!E55="","",【進行】結果入力表!E55))</f>
        <v/>
      </c>
      <c r="BR10" s="158" t="str">
        <f>IF(【進行】結果入力表!D$70="",IF(【進行】結果入力表!E64="","",【進行】結果入力表!E64),IF(【進行】結果入力表!E63="","",【進行】結果入力表!E63))</f>
        <v/>
      </c>
      <c r="BS10" s="114"/>
      <c r="BT10" s="125">
        <f t="shared" si="35"/>
        <v>0</v>
      </c>
      <c r="BU10" s="125">
        <f t="shared" si="35"/>
        <v>0</v>
      </c>
      <c r="BV10" s="125">
        <f t="shared" si="36"/>
        <v>0</v>
      </c>
      <c r="BW10" s="125">
        <f t="shared" si="37"/>
        <v>0</v>
      </c>
      <c r="BX10" s="125">
        <f t="shared" si="38"/>
        <v>10</v>
      </c>
      <c r="BY10" s="125" t="str">
        <f t="shared" si="39"/>
        <v>中本　雅大</v>
      </c>
      <c r="BZ10" s="125" t="str">
        <f t="shared" si="40"/>
        <v>WRC</v>
      </c>
      <c r="CA10" s="125">
        <f t="shared" si="41"/>
        <v>0</v>
      </c>
      <c r="CB10" s="125"/>
      <c r="CC10" s="147">
        <f t="shared" si="42"/>
        <v>3</v>
      </c>
      <c r="CD10" s="148">
        <f t="shared" si="43"/>
        <v>3</v>
      </c>
      <c r="CE10" s="149">
        <f t="shared" si="44"/>
        <v>752</v>
      </c>
      <c r="CF10" s="150">
        <f t="shared" si="45"/>
        <v>300752</v>
      </c>
      <c r="CG10" s="114"/>
      <c r="CH10" s="114"/>
      <c r="CI10" s="151"/>
      <c r="CJ10" s="151"/>
      <c r="CK10" s="151"/>
      <c r="CL10" s="151"/>
      <c r="CM10" s="151"/>
    </row>
    <row r="11" spans="1:91" ht="15" customHeight="1" x14ac:dyDescent="0.15">
      <c r="A11" s="353"/>
      <c r="B11" s="334" t="str">
        <f>IF(【準備】登録!$D$11=0,"",【準備】登録!$S$11)</f>
        <v>大迫　忠典</v>
      </c>
      <c r="C11" s="335"/>
      <c r="D11" s="336"/>
      <c r="E11" s="152">
        <f>【準備】登録!U11</f>
        <v>180</v>
      </c>
      <c r="F11" s="326">
        <f>IF(【進行】結果入力表!F12="","",【進行】結果入力表!F12)</f>
        <v>11</v>
      </c>
      <c r="G11" s="327"/>
      <c r="H11" s="159">
        <f t="shared" si="0"/>
        <v>0</v>
      </c>
      <c r="I11" s="159">
        <f t="shared" si="1"/>
        <v>1</v>
      </c>
      <c r="J11" s="328">
        <f t="shared" si="2"/>
        <v>11</v>
      </c>
      <c r="K11" s="329"/>
      <c r="L11" s="358">
        <f t="shared" si="3"/>
        <v>11</v>
      </c>
      <c r="M11" s="359"/>
      <c r="N11" s="360">
        <f>IF(【進行】結果入力表!F20="","",【進行】結果入力表!F20)</f>
        <v>152</v>
      </c>
      <c r="O11" s="361"/>
      <c r="P11" s="162">
        <f t="shared" si="4"/>
        <v>0</v>
      </c>
      <c r="Q11" s="162">
        <f t="shared" si="5"/>
        <v>1</v>
      </c>
      <c r="R11" s="163">
        <f t="shared" si="6"/>
        <v>0</v>
      </c>
      <c r="S11" s="163">
        <f t="shared" si="7"/>
        <v>2</v>
      </c>
      <c r="T11" s="362">
        <f t="shared" si="8"/>
        <v>163</v>
      </c>
      <c r="U11" s="363"/>
      <c r="V11" s="358">
        <f t="shared" si="9"/>
        <v>163</v>
      </c>
      <c r="W11" s="359"/>
      <c r="X11" s="360">
        <f>IF(【進行】結果入力表!D46="",IF(【進行】結果入力表!F31="","",【進行】結果入力表!F31),IF(【進行】結果入力表!F38="","",【進行】結果入力表!F38))</f>
        <v>10</v>
      </c>
      <c r="Y11" s="361"/>
      <c r="Z11" s="162">
        <f t="shared" si="10"/>
        <v>0</v>
      </c>
      <c r="AA11" s="162">
        <f t="shared" si="11"/>
        <v>1</v>
      </c>
      <c r="AB11" s="163">
        <f t="shared" si="12"/>
        <v>0</v>
      </c>
      <c r="AC11" s="163">
        <f t="shared" si="13"/>
        <v>3</v>
      </c>
      <c r="AD11" s="362">
        <f t="shared" si="14"/>
        <v>173</v>
      </c>
      <c r="AE11" s="363"/>
      <c r="AF11" s="358">
        <f t="shared" si="15"/>
        <v>173</v>
      </c>
      <c r="AG11" s="359"/>
      <c r="AH11" s="326">
        <f>IF(【進行】結果入力表!D46="",IF(【進行】結果入力表!F39="","",【進行】結果入力表!F39),IF(【進行】結果入力表!F46="","",【進行】結果入力表!F46))</f>
        <v>116</v>
      </c>
      <c r="AI11" s="327"/>
      <c r="AJ11" s="160">
        <f t="shared" si="16"/>
        <v>0</v>
      </c>
      <c r="AK11" s="160">
        <f t="shared" si="17"/>
        <v>1</v>
      </c>
      <c r="AL11" s="159">
        <f t="shared" si="18"/>
        <v>0</v>
      </c>
      <c r="AM11" s="159">
        <f t="shared" si="19"/>
        <v>4</v>
      </c>
      <c r="AN11" s="328">
        <f t="shared" si="20"/>
        <v>289</v>
      </c>
      <c r="AO11" s="329"/>
      <c r="AP11" s="324">
        <f t="shared" si="21"/>
        <v>289</v>
      </c>
      <c r="AQ11" s="333"/>
      <c r="AR11" s="326">
        <f>IF(【進行】結果入力表!D$62="",IF(【進行】結果入力表!F57="","",【進行】結果入力表!F57),IF(【進行】結果入力表!F56="","",【進行】結果入力表!F56))</f>
        <v>81</v>
      </c>
      <c r="AS11" s="327"/>
      <c r="AT11" s="160">
        <f t="shared" si="22"/>
        <v>0</v>
      </c>
      <c r="AU11" s="160">
        <f t="shared" si="23"/>
        <v>1</v>
      </c>
      <c r="AV11" s="159">
        <f t="shared" si="24"/>
        <v>0</v>
      </c>
      <c r="AW11" s="159">
        <f t="shared" si="25"/>
        <v>5</v>
      </c>
      <c r="AX11" s="328">
        <f t="shared" si="26"/>
        <v>370</v>
      </c>
      <c r="AY11" s="329"/>
      <c r="AZ11" s="324">
        <f t="shared" si="27"/>
        <v>369.99999999999994</v>
      </c>
      <c r="BA11" s="325"/>
      <c r="BB11" s="326">
        <f>IF(【進行】結果入力表!D$70="",IF(【進行】結果入力表!F65="","",【進行】結果入力表!F65),IF(【進行】結果入力表!F64="","",【進行】結果入力表!F64))</f>
        <v>115</v>
      </c>
      <c r="BC11" s="327"/>
      <c r="BD11" s="160">
        <f t="shared" si="28"/>
        <v>0</v>
      </c>
      <c r="BE11" s="160">
        <f t="shared" si="29"/>
        <v>1</v>
      </c>
      <c r="BF11" s="159">
        <f t="shared" si="30"/>
        <v>0</v>
      </c>
      <c r="BG11" s="159">
        <f t="shared" si="31"/>
        <v>6</v>
      </c>
      <c r="BH11" s="328">
        <f t="shared" si="32"/>
        <v>485</v>
      </c>
      <c r="BI11" s="329"/>
      <c r="BJ11" s="324">
        <f t="shared" si="33"/>
        <v>485.00000000000006</v>
      </c>
      <c r="BK11" s="327"/>
      <c r="BL11" s="155">
        <f t="shared" si="34"/>
        <v>7</v>
      </c>
      <c r="BM11" s="156" t="str">
        <f>IF(【進行】結果入力表!E12="","",【進行】結果入力表!E12)</f>
        <v/>
      </c>
      <c r="BN11" s="157" t="str">
        <f>IF(【進行】結果入力表!E20="","",【進行】結果入力表!E20)</f>
        <v/>
      </c>
      <c r="BO11" s="157" t="str">
        <f>IF(【進行】結果入力表!D$46="",IF(【進行】結果入力表!E31="","",【進行】結果入力表!E31),IF(【進行】結果入力表!E38="","",【進行】結果入力表!E38))</f>
        <v/>
      </c>
      <c r="BP11" s="157" t="str">
        <f>IF(【進行】結果入力表!D$46="",IF(【進行】結果入力表!E39="","",【進行】結果入力表!E39),IF(【進行】結果入力表!E46="","",【進行】結果入力表!E46))</f>
        <v/>
      </c>
      <c r="BQ11" s="157" t="str">
        <f>IF(【進行】結果入力表!D$62="",IF(【進行】結果入力表!E57="","",【進行】結果入力表!E57),IF(【進行】結果入力表!E56="","",【進行】結果入力表!E56))</f>
        <v/>
      </c>
      <c r="BR11" s="158" t="str">
        <f>IF(【進行】結果入力表!D$70="",IF(【進行】結果入力表!E65="","",【進行】結果入力表!E65),IF(【進行】結果入力表!E64="","",【進行】結果入力表!E64))</f>
        <v/>
      </c>
      <c r="BS11" s="114"/>
      <c r="BT11" s="125">
        <f t="shared" si="35"/>
        <v>0</v>
      </c>
      <c r="BU11" s="125">
        <f t="shared" si="35"/>
        <v>0</v>
      </c>
      <c r="BV11" s="125">
        <f t="shared" si="36"/>
        <v>0</v>
      </c>
      <c r="BW11" s="125">
        <f t="shared" si="37"/>
        <v>0</v>
      </c>
      <c r="BX11" s="125">
        <f t="shared" si="38"/>
        <v>10</v>
      </c>
      <c r="BY11" s="125" t="str">
        <f t="shared" si="39"/>
        <v>大迫　忠典</v>
      </c>
      <c r="BZ11" s="125" t="str">
        <f t="shared" si="40"/>
        <v>WRC</v>
      </c>
      <c r="CA11" s="125">
        <f t="shared" si="41"/>
        <v>0</v>
      </c>
      <c r="CB11" s="125"/>
      <c r="CC11" s="147">
        <f t="shared" si="42"/>
        <v>0</v>
      </c>
      <c r="CD11" s="148">
        <f t="shared" si="43"/>
        <v>6</v>
      </c>
      <c r="CE11" s="149">
        <f t="shared" si="44"/>
        <v>485</v>
      </c>
      <c r="CF11" s="150">
        <f t="shared" si="45"/>
        <v>485</v>
      </c>
      <c r="CG11" s="114"/>
      <c r="CH11" s="114"/>
      <c r="CI11" s="151"/>
      <c r="CJ11" s="151"/>
      <c r="CK11" s="151"/>
      <c r="CL11" s="151"/>
      <c r="CM11" s="151"/>
    </row>
    <row r="12" spans="1:91" ht="15" customHeight="1" x14ac:dyDescent="0.15">
      <c r="A12" s="353"/>
      <c r="B12" s="334" t="str">
        <f>IF(【準備】登録!$D$11=0,"",【準備】登録!$V$11)</f>
        <v>松房　ゆかり</v>
      </c>
      <c r="C12" s="335"/>
      <c r="D12" s="336"/>
      <c r="E12" s="152">
        <f>【準備】登録!X11</f>
        <v>140</v>
      </c>
      <c r="F12" s="326" t="str">
        <f>IF(【進行】結果入力表!F13="","",【進行】結果入力表!F13)</f>
        <v>w</v>
      </c>
      <c r="G12" s="327"/>
      <c r="H12" s="159">
        <f t="shared" si="0"/>
        <v>1</v>
      </c>
      <c r="I12" s="159">
        <f t="shared" si="1"/>
        <v>0</v>
      </c>
      <c r="J12" s="328">
        <f t="shared" si="2"/>
        <v>140</v>
      </c>
      <c r="K12" s="329"/>
      <c r="L12" s="324">
        <f t="shared" si="3"/>
        <v>180</v>
      </c>
      <c r="M12" s="333"/>
      <c r="N12" s="326" t="str">
        <f>IF(【進行】結果入力表!F21="","",【進行】結果入力表!F21)</f>
        <v>w</v>
      </c>
      <c r="O12" s="327"/>
      <c r="P12" s="160">
        <f t="shared" si="4"/>
        <v>1</v>
      </c>
      <c r="Q12" s="160">
        <f t="shared" si="5"/>
        <v>0</v>
      </c>
      <c r="R12" s="159">
        <f t="shared" si="6"/>
        <v>2</v>
      </c>
      <c r="S12" s="159">
        <f t="shared" si="7"/>
        <v>0</v>
      </c>
      <c r="T12" s="328">
        <f t="shared" si="8"/>
        <v>280</v>
      </c>
      <c r="U12" s="329"/>
      <c r="V12" s="324">
        <f t="shared" si="9"/>
        <v>360</v>
      </c>
      <c r="W12" s="333"/>
      <c r="X12" s="326" t="str">
        <f>IF(【進行】結果入力表!D46="",IF(【進行】結果入力表!F32="","",【進行】結果入力表!F32),IF(【進行】結果入力表!F31="","",【進行】結果入力表!F31))</f>
        <v>w</v>
      </c>
      <c r="Y12" s="327"/>
      <c r="Z12" s="160">
        <f t="shared" si="10"/>
        <v>1</v>
      </c>
      <c r="AA12" s="160">
        <f t="shared" si="11"/>
        <v>0</v>
      </c>
      <c r="AB12" s="159">
        <f t="shared" si="12"/>
        <v>3</v>
      </c>
      <c r="AC12" s="159">
        <f t="shared" si="13"/>
        <v>0</v>
      </c>
      <c r="AD12" s="328">
        <f t="shared" si="14"/>
        <v>420</v>
      </c>
      <c r="AE12" s="329"/>
      <c r="AF12" s="324">
        <f t="shared" si="15"/>
        <v>540</v>
      </c>
      <c r="AG12" s="333"/>
      <c r="AH12" s="326">
        <f>IF(【進行】結果入力表!D46="",IF(【進行】結果入力表!F40="","",【進行】結果入力表!F40),IF(【進行】結果入力表!F39="","",【進行】結果入力表!F39))</f>
        <v>52</v>
      </c>
      <c r="AI12" s="327"/>
      <c r="AJ12" s="160">
        <f t="shared" si="16"/>
        <v>0</v>
      </c>
      <c r="AK12" s="160">
        <f t="shared" si="17"/>
        <v>1</v>
      </c>
      <c r="AL12" s="159">
        <f t="shared" si="18"/>
        <v>3</v>
      </c>
      <c r="AM12" s="159">
        <f t="shared" si="19"/>
        <v>1</v>
      </c>
      <c r="AN12" s="328">
        <f t="shared" si="20"/>
        <v>472</v>
      </c>
      <c r="AO12" s="329"/>
      <c r="AP12" s="324">
        <f t="shared" si="21"/>
        <v>606.85714285714289</v>
      </c>
      <c r="AQ12" s="333"/>
      <c r="AR12" s="326" t="str">
        <f>IF(【進行】結果入力表!D$62="",IF(【進行】結果入力表!F58="","",【進行】結果入力表!F58),IF(【進行】結果入力表!F57="","",【進行】結果入力表!F57))</f>
        <v>w</v>
      </c>
      <c r="AS12" s="327"/>
      <c r="AT12" s="160">
        <f t="shared" si="22"/>
        <v>1</v>
      </c>
      <c r="AU12" s="160">
        <f t="shared" si="23"/>
        <v>0</v>
      </c>
      <c r="AV12" s="159">
        <f t="shared" si="24"/>
        <v>4</v>
      </c>
      <c r="AW12" s="159">
        <f t="shared" si="25"/>
        <v>1</v>
      </c>
      <c r="AX12" s="328">
        <f t="shared" si="26"/>
        <v>612</v>
      </c>
      <c r="AY12" s="329"/>
      <c r="AZ12" s="324">
        <f t="shared" si="27"/>
        <v>786.85714285714278</v>
      </c>
      <c r="BA12" s="325"/>
      <c r="BB12" s="326">
        <f>IF(【進行】結果入力表!D$70="",IF(【進行】結果入力表!F66="","",【進行】結果入力表!F66),IF(【進行】結果入力表!F65="","",【進行】結果入力表!F65))</f>
        <v>99</v>
      </c>
      <c r="BC12" s="327"/>
      <c r="BD12" s="160">
        <f t="shared" si="28"/>
        <v>0</v>
      </c>
      <c r="BE12" s="160">
        <f t="shared" si="29"/>
        <v>1</v>
      </c>
      <c r="BF12" s="159">
        <f t="shared" si="30"/>
        <v>4</v>
      </c>
      <c r="BG12" s="159">
        <f t="shared" si="31"/>
        <v>2</v>
      </c>
      <c r="BH12" s="328">
        <f t="shared" si="32"/>
        <v>711</v>
      </c>
      <c r="BI12" s="329"/>
      <c r="BJ12" s="324">
        <f t="shared" si="33"/>
        <v>914.14285714285711</v>
      </c>
      <c r="BK12" s="327"/>
      <c r="BL12" s="161">
        <f t="shared" si="34"/>
        <v>3</v>
      </c>
      <c r="BM12" s="156" t="str">
        <f>IF(【進行】結果入力表!E13="","",【進行】結果入力表!E13)</f>
        <v/>
      </c>
      <c r="BN12" s="157" t="str">
        <f>IF(【進行】結果入力表!E21="","",【進行】結果入力表!E21)</f>
        <v/>
      </c>
      <c r="BO12" s="157">
        <f>IF(【進行】結果入力表!D$46="",IF(【進行】結果入力表!E32="","",【進行】結果入力表!E32),IF(【進行】結果入力表!E31="","",【進行】結果入力表!E31))</f>
        <v>110</v>
      </c>
      <c r="BP12" s="157" t="str">
        <f>IF(【進行】結果入力表!D$46="",IF(【進行】結果入力表!E40="","",【進行】結果入力表!E40),IF(【進行】結果入力表!E39="","",【進行】結果入力表!E39))</f>
        <v/>
      </c>
      <c r="BQ12" s="157" t="str">
        <f>IF(【進行】結果入力表!D$62="",IF(【進行】結果入力表!E58="","",【進行】結果入力表!E58),IF(【進行】結果入力表!E57="","",【進行】結果入力表!E57))</f>
        <v/>
      </c>
      <c r="BR12" s="158" t="str">
        <f>IF(【進行】結果入力表!D$70="",IF(【進行】結果入力表!E66="","",【進行】結果入力表!E66),IF(【進行】結果入力表!E65="","",【進行】結果入力表!E65))</f>
        <v/>
      </c>
      <c r="BS12" s="114"/>
      <c r="BT12" s="125">
        <f t="shared" si="35"/>
        <v>0</v>
      </c>
      <c r="BU12" s="125">
        <f t="shared" si="35"/>
        <v>0</v>
      </c>
      <c r="BV12" s="125">
        <f t="shared" si="36"/>
        <v>110</v>
      </c>
      <c r="BW12" s="125">
        <f t="shared" si="37"/>
        <v>110</v>
      </c>
      <c r="BX12" s="125">
        <f t="shared" si="38"/>
        <v>5</v>
      </c>
      <c r="BY12" s="125" t="str">
        <f t="shared" si="39"/>
        <v>松房　ゆかり</v>
      </c>
      <c r="BZ12" s="125" t="str">
        <f t="shared" si="40"/>
        <v>WRC</v>
      </c>
      <c r="CA12" s="125">
        <f t="shared" si="41"/>
        <v>110</v>
      </c>
      <c r="CB12" s="125"/>
      <c r="CC12" s="147">
        <f t="shared" si="42"/>
        <v>4</v>
      </c>
      <c r="CD12" s="148">
        <f t="shared" si="43"/>
        <v>2</v>
      </c>
      <c r="CE12" s="149">
        <f t="shared" si="44"/>
        <v>914.14285714285711</v>
      </c>
      <c r="CF12" s="150">
        <f t="shared" si="45"/>
        <v>400914.14285714284</v>
      </c>
      <c r="CG12" s="114"/>
      <c r="CH12" s="114"/>
      <c r="CI12" s="151"/>
      <c r="CJ12" s="151"/>
      <c r="CK12" s="151"/>
      <c r="CL12" s="151"/>
      <c r="CM12" s="151"/>
    </row>
    <row r="13" spans="1:91" ht="15" customHeight="1" thickBot="1" x14ac:dyDescent="0.2">
      <c r="A13" s="353"/>
      <c r="B13" s="330" t="str">
        <f>IF(【準備】登録!$Y$11=0,"",【準備】登録!$Y$11)</f>
        <v/>
      </c>
      <c r="C13" s="331"/>
      <c r="D13" s="332"/>
      <c r="E13" s="164" t="str">
        <f>IF(【準備】登録!$Y$11="","",【準備】登録!AA11)</f>
        <v/>
      </c>
      <c r="F13" s="320" t="str">
        <f>IF(【進行】結果入力表!F14="","",【進行】結果入力表!F14)</f>
        <v/>
      </c>
      <c r="G13" s="315"/>
      <c r="H13" s="165" t="str">
        <f t="shared" si="0"/>
        <v/>
      </c>
      <c r="I13" s="165" t="str">
        <f t="shared" si="1"/>
        <v/>
      </c>
      <c r="J13" s="321" t="str">
        <f t="shared" si="2"/>
        <v/>
      </c>
      <c r="K13" s="322"/>
      <c r="L13" s="314" t="str">
        <f t="shared" si="3"/>
        <v/>
      </c>
      <c r="M13" s="319"/>
      <c r="N13" s="320" t="str">
        <f>IF(【進行】結果入力表!F22="","",【進行】結果入力表!F22)</f>
        <v/>
      </c>
      <c r="O13" s="315"/>
      <c r="P13" s="166" t="str">
        <f t="shared" si="4"/>
        <v/>
      </c>
      <c r="Q13" s="166" t="str">
        <f t="shared" si="5"/>
        <v/>
      </c>
      <c r="R13" s="165" t="str">
        <f t="shared" si="6"/>
        <v/>
      </c>
      <c r="S13" s="165" t="str">
        <f t="shared" si="7"/>
        <v/>
      </c>
      <c r="T13" s="321" t="str">
        <f t="shared" si="8"/>
        <v/>
      </c>
      <c r="U13" s="322"/>
      <c r="V13" s="314" t="str">
        <f t="shared" si="9"/>
        <v/>
      </c>
      <c r="W13" s="319"/>
      <c r="X13" s="320" t="str">
        <f>IF(【進行】結果入力表!D46="","",IF(【進行】結果入力表!F32="","",【進行】結果入力表!F32))</f>
        <v/>
      </c>
      <c r="Y13" s="315"/>
      <c r="Z13" s="166" t="str">
        <f t="shared" si="10"/>
        <v/>
      </c>
      <c r="AA13" s="166" t="str">
        <f t="shared" si="11"/>
        <v/>
      </c>
      <c r="AB13" s="165" t="str">
        <f t="shared" si="12"/>
        <v/>
      </c>
      <c r="AC13" s="165" t="str">
        <f t="shared" si="13"/>
        <v/>
      </c>
      <c r="AD13" s="321" t="str">
        <f t="shared" si="14"/>
        <v/>
      </c>
      <c r="AE13" s="322"/>
      <c r="AF13" s="314" t="str">
        <f t="shared" si="15"/>
        <v/>
      </c>
      <c r="AG13" s="319"/>
      <c r="AH13" s="320" t="str">
        <f>IF(【進行】結果入力表!D46="","",IF(【進行】結果入力表!F40="","",【進行】結果入力表!F40))</f>
        <v/>
      </c>
      <c r="AI13" s="315"/>
      <c r="AJ13" s="166" t="str">
        <f t="shared" si="16"/>
        <v/>
      </c>
      <c r="AK13" s="166" t="str">
        <f t="shared" si="17"/>
        <v/>
      </c>
      <c r="AL13" s="165" t="str">
        <f t="shared" si="18"/>
        <v/>
      </c>
      <c r="AM13" s="165" t="str">
        <f t="shared" si="19"/>
        <v/>
      </c>
      <c r="AN13" s="321" t="str">
        <f t="shared" si="20"/>
        <v/>
      </c>
      <c r="AO13" s="322"/>
      <c r="AP13" s="314" t="str">
        <f t="shared" si="21"/>
        <v/>
      </c>
      <c r="AQ13" s="319"/>
      <c r="AR13" s="320" t="str">
        <f>IF(【進行】結果入力表!D62="","",IF(【進行】結果入力表!F58="","",【進行】結果入力表!F58))</f>
        <v/>
      </c>
      <c r="AS13" s="315"/>
      <c r="AT13" s="166" t="str">
        <f t="shared" si="22"/>
        <v/>
      </c>
      <c r="AU13" s="166" t="str">
        <f t="shared" si="23"/>
        <v/>
      </c>
      <c r="AV13" s="165" t="str">
        <f t="shared" si="24"/>
        <v/>
      </c>
      <c r="AW13" s="165" t="str">
        <f t="shared" si="25"/>
        <v/>
      </c>
      <c r="AX13" s="321" t="str">
        <f t="shared" si="26"/>
        <v/>
      </c>
      <c r="AY13" s="322"/>
      <c r="AZ13" s="314" t="str">
        <f t="shared" si="27"/>
        <v/>
      </c>
      <c r="BA13" s="323"/>
      <c r="BB13" s="320" t="str">
        <f>IF(【進行】結果入力表!D70="","",IF(【進行】結果入力表!F66="","",【進行】結果入力表!F66))</f>
        <v/>
      </c>
      <c r="BC13" s="315"/>
      <c r="BD13" s="166" t="str">
        <f t="shared" si="28"/>
        <v/>
      </c>
      <c r="BE13" s="166" t="str">
        <f t="shared" si="29"/>
        <v/>
      </c>
      <c r="BF13" s="165" t="str">
        <f t="shared" si="30"/>
        <v/>
      </c>
      <c r="BG13" s="165" t="str">
        <f t="shared" si="31"/>
        <v/>
      </c>
      <c r="BH13" s="321" t="str">
        <f t="shared" si="32"/>
        <v/>
      </c>
      <c r="BI13" s="322"/>
      <c r="BJ13" s="314" t="str">
        <f t="shared" si="33"/>
        <v/>
      </c>
      <c r="BK13" s="315"/>
      <c r="BL13" s="167" t="str">
        <f t="shared" si="34"/>
        <v/>
      </c>
      <c r="BM13" s="168" t="str">
        <f>IF(【進行】結果入力表!E14="","",【進行】結果入力表!E14)</f>
        <v/>
      </c>
      <c r="BN13" s="169" t="str">
        <f>IF(【進行】結果入力表!E22="","",【進行】結果入力表!E22)</f>
        <v/>
      </c>
      <c r="BO13" s="169" t="str">
        <f>IF(【進行】結果入力表!D46="","",IF(【進行】結果入力表!E32="","",【進行】結果入力表!E32))</f>
        <v/>
      </c>
      <c r="BP13" s="169" t="str">
        <f>IF(【進行】結果入力表!D46="","",IF(【進行】結果入力表!E40="","",【進行】結果入力表!E40))</f>
        <v/>
      </c>
      <c r="BQ13" s="169" t="str">
        <f>IF(【進行】結果入力表!D70="","",IF(【進行】結果入力表!E58="","",【進行】結果入力表!E58))</f>
        <v/>
      </c>
      <c r="BR13" s="170" t="str">
        <f>IF(【進行】結果入力表!D70="","",IF(【進行】結果入力表!E66="","",【進行】結果入力表!E66))</f>
        <v/>
      </c>
      <c r="BS13" s="114"/>
      <c r="BT13" s="125">
        <f t="shared" si="35"/>
        <v>0</v>
      </c>
      <c r="BU13" s="125">
        <f t="shared" si="35"/>
        <v>0</v>
      </c>
      <c r="BV13" s="125">
        <f t="shared" si="36"/>
        <v>0</v>
      </c>
      <c r="BW13" s="125">
        <f t="shared" si="37"/>
        <v>0</v>
      </c>
      <c r="BX13" s="125">
        <f t="shared" si="38"/>
        <v>10</v>
      </c>
      <c r="BY13" s="125" t="str">
        <f t="shared" si="39"/>
        <v/>
      </c>
      <c r="BZ13" s="125" t="str">
        <f t="shared" si="40"/>
        <v>WRC</v>
      </c>
      <c r="CA13" s="125">
        <f t="shared" si="41"/>
        <v>0</v>
      </c>
      <c r="CB13" s="125"/>
      <c r="CC13" s="171" t="str">
        <f>IF(B13="","",COUNTIF(F13:BC13,"w"))</f>
        <v/>
      </c>
      <c r="CD13" s="172" t="str">
        <f>IF(B13="","",COUNT(F13,N13,AH13,X13,AR13,BB13))</f>
        <v/>
      </c>
      <c r="CE13" s="173" t="str">
        <f>IF(CC13="","",CC13*180+SUM(F13,N13,AH13,X13,AR13,BB13)*180/E13)</f>
        <v/>
      </c>
      <c r="CF13" s="174" t="str">
        <f>IF(B13="","",CC13*100000+CE13)</f>
        <v/>
      </c>
      <c r="CG13" s="114"/>
      <c r="CH13" s="114"/>
      <c r="CI13" s="151"/>
      <c r="CJ13" s="151"/>
      <c r="CK13" s="151"/>
      <c r="CL13" s="151"/>
      <c r="CM13" s="151"/>
    </row>
    <row r="14" spans="1:91" ht="17.25" customHeight="1" thickTop="1" thickBot="1" x14ac:dyDescent="0.2">
      <c r="A14" s="354"/>
      <c r="B14" s="316" t="s">
        <v>87</v>
      </c>
      <c r="C14" s="317"/>
      <c r="D14" s="318"/>
      <c r="E14" s="175"/>
      <c r="F14" s="310"/>
      <c r="G14" s="311"/>
      <c r="H14" s="176">
        <f>IF(COUNTBLANK(H6:H13)=8,"",SUM(H6:H13))</f>
        <v>1</v>
      </c>
      <c r="I14" s="176">
        <f>IF(COUNTBLANK(I6:I13)=8,"",SUM(I6:I13))</f>
        <v>6</v>
      </c>
      <c r="J14" s="312">
        <f>IF($B6="","",SUM(J6:J13))</f>
        <v>693</v>
      </c>
      <c r="K14" s="313">
        <f>IF($B6="","",SUM(K6:K13))</f>
        <v>0</v>
      </c>
      <c r="L14" s="308">
        <f>IF(COUNTBLANK(L6:L13)=8,"",SUM(L6:L13))</f>
        <v>733</v>
      </c>
      <c r="M14" s="309">
        <f>IF($B6="","",SUM(M6:M13))</f>
        <v>0</v>
      </c>
      <c r="N14" s="310"/>
      <c r="O14" s="311"/>
      <c r="P14" s="177">
        <f>SUM(P6:P13)</f>
        <v>4</v>
      </c>
      <c r="Q14" s="177">
        <f>SUM(Q6:Q13)</f>
        <v>3</v>
      </c>
      <c r="R14" s="176">
        <f>IF(COUNTBLANK(R6:R13)=8,"",SUM(H14,P14))</f>
        <v>5</v>
      </c>
      <c r="S14" s="176">
        <f>IF(COUNTBLANK(S6:S13)=8,"",SUM(I14,Q14))</f>
        <v>9</v>
      </c>
      <c r="T14" s="312">
        <f>IF($B6="","",SUM(T6:T13))</f>
        <v>1627</v>
      </c>
      <c r="U14" s="313">
        <f>IF($B6="","",SUM(U6:U13))</f>
        <v>0</v>
      </c>
      <c r="V14" s="308">
        <f>IF(COUNTBLANK(V6:V13)=8,"",SUM(V6:V13))</f>
        <v>1707</v>
      </c>
      <c r="W14" s="309">
        <f>IF($B6="","",SUM(W6:W13))</f>
        <v>0</v>
      </c>
      <c r="X14" s="310"/>
      <c r="Y14" s="311"/>
      <c r="Z14" s="177">
        <f>SUM(Z6:Z13)</f>
        <v>3</v>
      </c>
      <c r="AA14" s="177">
        <f>SUM(AA6:AA13)</f>
        <v>4</v>
      </c>
      <c r="AB14" s="176">
        <f>IF(COUNTBLANK(AB6:AB13)=8,"",SUM(R14,Z14))</f>
        <v>8</v>
      </c>
      <c r="AC14" s="176">
        <f>IF(COUNTBLANK(AC6:AC13)=8,"",SUM(S14,AA14))</f>
        <v>13</v>
      </c>
      <c r="AD14" s="312">
        <f>IF($B6="","",SUM(AD6:AD13))</f>
        <v>2445</v>
      </c>
      <c r="AE14" s="313">
        <f>IF($B6="","",SUM(AE6:AE13))</f>
        <v>0</v>
      </c>
      <c r="AF14" s="308">
        <f>IF(COUNTBLANK(AF6:AF13)=8,"",SUM(AF6:AF13))</f>
        <v>2565</v>
      </c>
      <c r="AG14" s="309">
        <f>IF($B6="","",SUM(AG6:AG13))</f>
        <v>0</v>
      </c>
      <c r="AH14" s="310"/>
      <c r="AI14" s="311"/>
      <c r="AJ14" s="177">
        <f>SUM(AJ6:AJ13)</f>
        <v>5</v>
      </c>
      <c r="AK14" s="177">
        <f>SUM(AK6:AK13)</f>
        <v>2</v>
      </c>
      <c r="AL14" s="176">
        <f>IF(COUNTBLANK(AL6:AL13)=8,"",SUM(AB14,AJ14))</f>
        <v>13</v>
      </c>
      <c r="AM14" s="176">
        <f>IF(COUNTBLANK(AM6:AM13)=8,"",SUM(AC14,AK14))</f>
        <v>15</v>
      </c>
      <c r="AN14" s="312">
        <f>IF($B6="","",SUM(AN6:AN13))</f>
        <v>3513</v>
      </c>
      <c r="AO14" s="313">
        <f>IF($B6="","",SUM(AO6:AO13))</f>
        <v>0</v>
      </c>
      <c r="AP14" s="308">
        <f>IF(COUNTBLANK(AP6:AP13)=8,"",SUM(AP6:AP13))</f>
        <v>3647.8571428571431</v>
      </c>
      <c r="AQ14" s="309">
        <f>IF($B6="","",SUM(AQ6:AQ13))</f>
        <v>0</v>
      </c>
      <c r="AR14" s="310"/>
      <c r="AS14" s="311"/>
      <c r="AT14" s="177">
        <f>SUM(AT6:AT13)</f>
        <v>4</v>
      </c>
      <c r="AU14" s="177">
        <f>SUM(AU6:AU13)</f>
        <v>3</v>
      </c>
      <c r="AV14" s="176">
        <f>IF(COUNTBLANK(AV6:AV13)=8,"",SUM(AL14,AT14))</f>
        <v>17</v>
      </c>
      <c r="AW14" s="176">
        <f>IF(COUNTBLANK(AW6:AW13)=8,"",SUM(AM14,AU14))</f>
        <v>18</v>
      </c>
      <c r="AX14" s="312">
        <f>IF($B6="","",SUM(AX6:AX13))</f>
        <v>4508</v>
      </c>
      <c r="AY14" s="313">
        <f>IF($B6="","",SUM(AY6:AY13))</f>
        <v>0</v>
      </c>
      <c r="AZ14" s="308">
        <f>IF(COUNTBLANK(AZ6:AZ13)=8,"",SUM(AZ6:AZ13))</f>
        <v>4682.8571428571431</v>
      </c>
      <c r="BA14" s="309">
        <f>IF($B6="","",SUM(BA6:BA13))</f>
        <v>0</v>
      </c>
      <c r="BB14" s="310"/>
      <c r="BC14" s="311"/>
      <c r="BD14" s="177">
        <f>SUM(BD6:BD13)</f>
        <v>4</v>
      </c>
      <c r="BE14" s="177">
        <f>SUM(BE6:BE13)</f>
        <v>3</v>
      </c>
      <c r="BF14" s="176">
        <f>IF(COUNTBLANK(BF6:BF13)=8,"",SUM(AV14,BD14))</f>
        <v>21</v>
      </c>
      <c r="BG14" s="176">
        <f>IF(COUNTBLANK(BG6:BG13)=8,"",SUM(AW14,BE14))</f>
        <v>21</v>
      </c>
      <c r="BH14" s="312">
        <f>IF(COUNTIF(BH6:BI13,"")=16,"",SUM(BH6:BH13))</f>
        <v>5481</v>
      </c>
      <c r="BI14" s="313">
        <f>IF($B6="","",SUM(BI6:BI13))</f>
        <v>0</v>
      </c>
      <c r="BJ14" s="308">
        <f>IF(COUNTBLANK(BJ6:BJ13)=8,"",SUM(BJ6:BJ13))</f>
        <v>5684.1428571428569</v>
      </c>
      <c r="BK14" s="311">
        <f>IF($B6="","",SUM(BK6:BK13))</f>
        <v>0</v>
      </c>
      <c r="BL14" s="178"/>
      <c r="BM14" s="179"/>
      <c r="BN14" s="180"/>
      <c r="BO14" s="180"/>
      <c r="BP14" s="180"/>
      <c r="BQ14" s="180"/>
      <c r="BR14" s="181"/>
      <c r="BS14" s="114"/>
      <c r="BT14" s="125"/>
      <c r="BU14" s="125"/>
      <c r="BV14" s="125"/>
      <c r="BW14" s="125"/>
      <c r="BX14" s="125"/>
      <c r="BY14" s="125"/>
      <c r="BZ14" s="125"/>
      <c r="CA14" s="125"/>
      <c r="CB14" s="125"/>
      <c r="CC14" s="182">
        <f>SUM(CC6:CC13)</f>
        <v>21</v>
      </c>
      <c r="CD14" s="183">
        <f>SUM(CD6:CD13)</f>
        <v>21</v>
      </c>
      <c r="CE14" s="183">
        <f>SUM(CE6:CE13)</f>
        <v>5684.1428571428569</v>
      </c>
      <c r="CF14" s="184">
        <f>SUM(CF6:CF13)</f>
        <v>2105684.1428571427</v>
      </c>
      <c r="CG14" s="114"/>
      <c r="CH14" s="114"/>
    </row>
    <row r="15" spans="1:91" ht="17.25" customHeight="1" thickBot="1" x14ac:dyDescent="0.2">
      <c r="A15" s="352" t="str">
        <f>IF(【準備】登録!B12="","",【準備】登録!B12)</f>
        <v>NRC</v>
      </c>
      <c r="B15" s="355" t="str">
        <f>B5</f>
        <v>選手名</v>
      </c>
      <c r="C15" s="356"/>
      <c r="D15" s="357"/>
      <c r="E15" s="127" t="str">
        <f>E5</f>
        <v>持点</v>
      </c>
      <c r="F15" s="344" t="str">
        <f>A5</f>
        <v>WRC</v>
      </c>
      <c r="G15" s="345"/>
      <c r="H15" s="128" t="s">
        <v>31</v>
      </c>
      <c r="I15" s="128" t="s">
        <v>73</v>
      </c>
      <c r="J15" s="346" t="s">
        <v>74</v>
      </c>
      <c r="K15" s="347"/>
      <c r="L15" s="348" t="s">
        <v>74</v>
      </c>
      <c r="M15" s="345"/>
      <c r="N15" s="344" t="str">
        <f>A25</f>
        <v>SBC</v>
      </c>
      <c r="O15" s="345"/>
      <c r="P15" s="129" t="s">
        <v>31</v>
      </c>
      <c r="Q15" s="129" t="s">
        <v>73</v>
      </c>
      <c r="R15" s="128" t="s">
        <v>31</v>
      </c>
      <c r="S15" s="128" t="s">
        <v>73</v>
      </c>
      <c r="T15" s="346" t="s">
        <v>74</v>
      </c>
      <c r="U15" s="347"/>
      <c r="V15" s="348" t="s">
        <v>74</v>
      </c>
      <c r="W15" s="345"/>
      <c r="X15" s="344" t="str">
        <f>A5</f>
        <v>WRC</v>
      </c>
      <c r="Y15" s="345"/>
      <c r="Z15" s="129" t="s">
        <v>31</v>
      </c>
      <c r="AA15" s="129" t="s">
        <v>73</v>
      </c>
      <c r="AB15" s="128" t="s">
        <v>31</v>
      </c>
      <c r="AC15" s="128" t="s">
        <v>73</v>
      </c>
      <c r="AD15" s="346" t="s">
        <v>74</v>
      </c>
      <c r="AE15" s="347"/>
      <c r="AF15" s="348" t="s">
        <v>74</v>
      </c>
      <c r="AG15" s="345"/>
      <c r="AH15" s="344" t="str">
        <f>A25</f>
        <v>SBC</v>
      </c>
      <c r="AI15" s="345"/>
      <c r="AJ15" s="129" t="s">
        <v>31</v>
      </c>
      <c r="AK15" s="129" t="s">
        <v>73</v>
      </c>
      <c r="AL15" s="128" t="s">
        <v>31</v>
      </c>
      <c r="AM15" s="128" t="s">
        <v>73</v>
      </c>
      <c r="AN15" s="346" t="s">
        <v>74</v>
      </c>
      <c r="AO15" s="347"/>
      <c r="AP15" s="348" t="s">
        <v>74</v>
      </c>
      <c r="AQ15" s="345"/>
      <c r="AR15" s="344" t="str">
        <f>A5</f>
        <v>WRC</v>
      </c>
      <c r="AS15" s="345"/>
      <c r="AT15" s="129" t="s">
        <v>31</v>
      </c>
      <c r="AU15" s="129" t="s">
        <v>73</v>
      </c>
      <c r="AV15" s="128" t="s">
        <v>31</v>
      </c>
      <c r="AW15" s="128" t="s">
        <v>73</v>
      </c>
      <c r="AX15" s="346" t="s">
        <v>74</v>
      </c>
      <c r="AY15" s="347"/>
      <c r="AZ15" s="348" t="s">
        <v>74</v>
      </c>
      <c r="BA15" s="345"/>
      <c r="BB15" s="344" t="str">
        <f>A25</f>
        <v>SBC</v>
      </c>
      <c r="BC15" s="345"/>
      <c r="BD15" s="129" t="s">
        <v>31</v>
      </c>
      <c r="BE15" s="129" t="s">
        <v>73</v>
      </c>
      <c r="BF15" s="128" t="s">
        <v>31</v>
      </c>
      <c r="BG15" s="128" t="s">
        <v>73</v>
      </c>
      <c r="BH15" s="346" t="s">
        <v>74</v>
      </c>
      <c r="BI15" s="347"/>
      <c r="BJ15" s="348" t="s">
        <v>74</v>
      </c>
      <c r="BK15" s="345"/>
      <c r="BL15" s="185" t="s">
        <v>75</v>
      </c>
      <c r="BM15" s="131" t="str">
        <f t="shared" ref="BM15:BR15" si="46">BM$5</f>
        <v>1G</v>
      </c>
      <c r="BN15" s="132" t="str">
        <f t="shared" si="46"/>
        <v>2G</v>
      </c>
      <c r="BO15" s="132" t="str">
        <f t="shared" si="46"/>
        <v>3G</v>
      </c>
      <c r="BP15" s="132" t="str">
        <f t="shared" si="46"/>
        <v>4G</v>
      </c>
      <c r="BQ15" s="132" t="str">
        <f t="shared" si="46"/>
        <v>5G</v>
      </c>
      <c r="BR15" s="133" t="str">
        <f t="shared" si="46"/>
        <v>6G</v>
      </c>
      <c r="BS15" s="114"/>
      <c r="BT15" s="125"/>
      <c r="BU15" s="125"/>
      <c r="BV15" s="125"/>
      <c r="BW15" s="125"/>
      <c r="BX15" s="125"/>
      <c r="BY15" s="125"/>
      <c r="BZ15" s="125"/>
      <c r="CA15" s="125"/>
      <c r="CB15" s="125"/>
      <c r="CC15" s="136" t="str">
        <f>CC$5</f>
        <v>W</v>
      </c>
      <c r="CD15" s="137" t="str">
        <f>CD$5</f>
        <v>L</v>
      </c>
      <c r="CE15" s="137" t="str">
        <f>CE$5</f>
        <v>TP</v>
      </c>
      <c r="CF15" s="138" t="str">
        <f>CF$5</f>
        <v>R_P</v>
      </c>
      <c r="CG15" s="114"/>
      <c r="CH15" s="114"/>
    </row>
    <row r="16" spans="1:91" ht="15" customHeight="1" thickTop="1" x14ac:dyDescent="0.15">
      <c r="A16" s="353"/>
      <c r="B16" s="349" t="str">
        <f>IF(【準備】登録!$D$11=0,"",【準備】登録!$D$12)</f>
        <v>白戸　玲人</v>
      </c>
      <c r="C16" s="350"/>
      <c r="D16" s="351"/>
      <c r="E16" s="140">
        <f>【準備】登録!F12</f>
        <v>180</v>
      </c>
      <c r="F16" s="337">
        <f>IF(【進行】結果入力表!G15="","",【進行】結果入力表!G15)</f>
        <v>175</v>
      </c>
      <c r="G16" s="338"/>
      <c r="H16" s="141">
        <f t="shared" ref="H16:H23" si="47">IF(F16="","",IF(F16="w",1,0))</f>
        <v>0</v>
      </c>
      <c r="I16" s="141">
        <f t="shared" ref="I16:I23" si="48">IF(F16="","",IF(F16="w",0,1))</f>
        <v>1</v>
      </c>
      <c r="J16" s="339">
        <f t="shared" ref="J16:J23" si="49">IF(F16="","",IF(F16="w",E16,F16))</f>
        <v>175</v>
      </c>
      <c r="K16" s="340"/>
      <c r="L16" s="341">
        <f t="shared" ref="L16:L23" si="50">IF($F16="","",J16/$E16*180)</f>
        <v>175</v>
      </c>
      <c r="M16" s="343"/>
      <c r="N16" s="337">
        <f>IF(【進行】結果入力表!F23="","",【進行】結果入力表!F23)</f>
        <v>78</v>
      </c>
      <c r="O16" s="338"/>
      <c r="P16" s="142">
        <f t="shared" ref="P16:P23" si="51">IF(N16="","",IF(N16="w",1,0))</f>
        <v>0</v>
      </c>
      <c r="Q16" s="142">
        <f t="shared" ref="Q16:Q23" si="52">IF(N16="","",IF(N16="w",0,1))</f>
        <v>1</v>
      </c>
      <c r="R16" s="141">
        <f t="shared" ref="R16:R23" si="53">IF(N16="","",SUM(H16,P16))</f>
        <v>0</v>
      </c>
      <c r="S16" s="141">
        <f t="shared" ref="S16:S23" si="54">IF(N16="","",SUM(I16,Q16))</f>
        <v>2</v>
      </c>
      <c r="T16" s="339">
        <f t="shared" ref="T16:T23" si="55">IF(N16="","",IF(N16="w",E16+J16,N16+J16))</f>
        <v>253</v>
      </c>
      <c r="U16" s="340"/>
      <c r="V16" s="341">
        <f t="shared" ref="V16:V23" si="56">IF($N16="","",T16/$E16*180)</f>
        <v>252.99999999999997</v>
      </c>
      <c r="W16" s="343"/>
      <c r="X16" s="337" t="str">
        <f>IF(【進行】結果入力表!G40="","",【進行】結果入力表!G40)</f>
        <v>w</v>
      </c>
      <c r="Y16" s="338"/>
      <c r="Z16" s="142">
        <f t="shared" ref="Z16:Z23" si="57">IF(X16="","",IF(X16="w",1,0))</f>
        <v>1</v>
      </c>
      <c r="AA16" s="142">
        <f t="shared" ref="AA16:AA23" si="58">IF(X16="","",IF(X16="w",0,1))</f>
        <v>0</v>
      </c>
      <c r="AB16" s="141">
        <f t="shared" ref="AB16:AB23" si="59">IF(X16="","",SUM(R16,Z16))</f>
        <v>1</v>
      </c>
      <c r="AC16" s="141">
        <f t="shared" ref="AC16:AC23" si="60">IF(X16="","",SUM(S16,AA16))</f>
        <v>2</v>
      </c>
      <c r="AD16" s="339">
        <f t="shared" ref="AD16:AD23" si="61">IF(X16="","",IF(X16="w",T16+E16,X16+T16))</f>
        <v>433</v>
      </c>
      <c r="AE16" s="340"/>
      <c r="AF16" s="341">
        <f t="shared" ref="AF16:AF23" si="62">IF($X16="","",AD16/$E16*180)</f>
        <v>433</v>
      </c>
      <c r="AG16" s="343"/>
      <c r="AH16" s="337">
        <f>IF(【進行】結果入力表!F48="","",【進行】結果入力表!F48)</f>
        <v>67</v>
      </c>
      <c r="AI16" s="338"/>
      <c r="AJ16" s="142">
        <f t="shared" ref="AJ16:AJ23" si="63">IF(AH16="","",IF(AH16="w",1,0))</f>
        <v>0</v>
      </c>
      <c r="AK16" s="142">
        <f t="shared" ref="AK16:AK23" si="64">IF(AH16="","",IF(AH16="w",0,1))</f>
        <v>1</v>
      </c>
      <c r="AL16" s="141">
        <f t="shared" ref="AL16:AL23" si="65">IF(AH16="","",SUM(AB16,AJ16))</f>
        <v>1</v>
      </c>
      <c r="AM16" s="141">
        <f t="shared" ref="AM16:AM23" si="66">IF(AH16="","",SUM(AC16,AK16))</f>
        <v>3</v>
      </c>
      <c r="AN16" s="339">
        <f t="shared" ref="AN16:AN23" si="67">IF(AH16="","",IF(AH16="w",AD16+E16,AH16+AD16))</f>
        <v>500</v>
      </c>
      <c r="AO16" s="340"/>
      <c r="AP16" s="341">
        <f t="shared" ref="AP16:AP23" si="68">IF($AH16="","",AN16/$E16*180)</f>
        <v>500</v>
      </c>
      <c r="AQ16" s="343"/>
      <c r="AR16" s="337" t="str">
        <f>IF(【進行】結果入力表!G65="","",【進行】結果入力表!G65)</f>
        <v>w</v>
      </c>
      <c r="AS16" s="338"/>
      <c r="AT16" s="142">
        <f t="shared" ref="AT16:AT23" si="69">IF(AR16="","",IF(AR16="w",1,0))</f>
        <v>1</v>
      </c>
      <c r="AU16" s="142">
        <f t="shared" ref="AU16:AU23" si="70">IF(AR16="","",IF(AR16="w",0,1))</f>
        <v>0</v>
      </c>
      <c r="AV16" s="141">
        <f t="shared" ref="AV16:AV23" si="71">IF(AR16="","",IF(AR16="w",AL16+1,AL16))</f>
        <v>2</v>
      </c>
      <c r="AW16" s="141">
        <f t="shared" ref="AW16:AW23" si="72">IF(AR16="","",IF(AR16="w",AM16,AM16+1))</f>
        <v>3</v>
      </c>
      <c r="AX16" s="339">
        <f t="shared" ref="AX16:AX23" si="73">IF(AR16="","",IF(AR16="w",AN16+E16,AR16+AN16))</f>
        <v>680</v>
      </c>
      <c r="AY16" s="340"/>
      <c r="AZ16" s="341">
        <f t="shared" ref="AZ16:AZ23" si="74">IF($AR16="","",AX16/$E16*180)</f>
        <v>680</v>
      </c>
      <c r="BA16" s="342"/>
      <c r="BB16" s="337" t="str">
        <f>IF(【進行】結果入力表!F73="","",【進行】結果入力表!F73)</f>
        <v>w</v>
      </c>
      <c r="BC16" s="338"/>
      <c r="BD16" s="142">
        <f t="shared" ref="BD16:BD23" si="75">IF(BB16="","",IF(BB16="w",1,0))</f>
        <v>1</v>
      </c>
      <c r="BE16" s="142">
        <f t="shared" ref="BE16:BE23" si="76">IF(BB16="","",IF(BB16="w",0,1))</f>
        <v>0</v>
      </c>
      <c r="BF16" s="141">
        <f t="shared" ref="BF16:BF23" si="77">IF(BB16="","",IF(BB16="w",AV16+1,AV16))</f>
        <v>3</v>
      </c>
      <c r="BG16" s="141">
        <f t="shared" ref="BG16:BG23" si="78">IF(BB16="","",IF(BB16="w",AW16,AW16+1))</f>
        <v>3</v>
      </c>
      <c r="BH16" s="339">
        <f t="shared" ref="BH16:BH23" si="79">IF(BB16="","",IF(BB16="w",AX16+E16,BB16+AX16))</f>
        <v>860</v>
      </c>
      <c r="BI16" s="340"/>
      <c r="BJ16" s="341">
        <f t="shared" ref="BJ16:BJ23" si="80">IF($BB16="","",BH16/$E16*180)</f>
        <v>860</v>
      </c>
      <c r="BK16" s="338"/>
      <c r="BL16" s="186">
        <f t="shared" ref="BL16:BL23" si="81">IF(SUM(H16:I16,R16:S16)=0,"",IF(B$13="",RANK($CF$16:$CF$22,$CF$16:$CF$22,0),RANK($CF$16:$CF$23,$CF$16:$CF$23,0)))</f>
        <v>2</v>
      </c>
      <c r="BM16" s="144" t="str">
        <f>IF(【進行】結果入力表!H15="","",【進行】結果入力表!H15)</f>
        <v/>
      </c>
      <c r="BN16" s="145" t="str">
        <f>IF(【進行】結果入力表!E23="","",【進行】結果入力表!E23)</f>
        <v/>
      </c>
      <c r="BO16" s="145" t="str">
        <f>IF(【進行】結果入力表!H40="","",【進行】結果入力表!H40)</f>
        <v/>
      </c>
      <c r="BP16" s="145" t="str">
        <f>IF(【進行】結果入力表!E48="","",【進行】結果入力表!E48)</f>
        <v/>
      </c>
      <c r="BQ16" s="145" t="str">
        <f>IF(【進行】結果入力表!H65="","",【進行】結果入力表!H65)</f>
        <v/>
      </c>
      <c r="BR16" s="146" t="str">
        <f>IF(【進行】結果入力表!E73="","",【進行】結果入力表!E73)</f>
        <v/>
      </c>
      <c r="BS16" s="114"/>
      <c r="BT16" s="125">
        <f t="shared" ref="BT16:BU23" si="82">COUNTIF($BM16:$BR16,BT$5)</f>
        <v>0</v>
      </c>
      <c r="BU16" s="125">
        <f t="shared" si="82"/>
        <v>0</v>
      </c>
      <c r="BV16" s="125">
        <f t="shared" ref="BV16:BV23" si="83">MAX($BM16:$BR16)</f>
        <v>0</v>
      </c>
      <c r="BW16" s="125">
        <f t="shared" ref="BW16:BW23" si="84">BT16*10000+BU16*1000+BV16</f>
        <v>0</v>
      </c>
      <c r="BX16" s="125">
        <f t="shared" ref="BX16:BX23" si="85">RANK(BW16,$BW$6:$BW$33)</f>
        <v>10</v>
      </c>
      <c r="BY16" s="125" t="str">
        <f t="shared" ref="BY16:BY23" si="86">B16</f>
        <v>白戸　玲人</v>
      </c>
      <c r="BZ16" s="125" t="str">
        <f t="shared" ref="BZ16:BZ24" si="87">$A$15</f>
        <v>NRC</v>
      </c>
      <c r="CA16" s="125">
        <f t="shared" ref="CA16:CA23" si="88">IF(BT16&gt;0,"A"&amp;E16,IF(BU16&gt;0,"B"&amp;E16,BV16))</f>
        <v>0</v>
      </c>
      <c r="CB16" s="125"/>
      <c r="CC16" s="147">
        <f t="shared" ref="CC16:CC22" si="89">COUNTIF(F16:BC16,"w")</f>
        <v>3</v>
      </c>
      <c r="CD16" s="148">
        <f t="shared" ref="CD16:CD22" si="90">COUNT(F16,N16,AH16,X16,AR16,BB16)</f>
        <v>3</v>
      </c>
      <c r="CE16" s="149">
        <f t="shared" ref="CE16:CE22" si="91">CC16*180+SUM(F16,N16,AH16,X16,AR16,BB16)*180/E16</f>
        <v>860</v>
      </c>
      <c r="CF16" s="150">
        <f t="shared" ref="CF16:CF22" si="92">CC16*100000+CE16</f>
        <v>300860</v>
      </c>
      <c r="CG16" s="114"/>
      <c r="CH16" s="114"/>
    </row>
    <row r="17" spans="1:86" ht="15" customHeight="1" x14ac:dyDescent="0.15">
      <c r="A17" s="353"/>
      <c r="B17" s="334" t="str">
        <f>IF(【準備】登録!$D$11=0,"",【準備】登録!$G$12)</f>
        <v>吉向　翔平</v>
      </c>
      <c r="C17" s="335"/>
      <c r="D17" s="336"/>
      <c r="E17" s="152">
        <f>【準備】登録!I12</f>
        <v>180</v>
      </c>
      <c r="F17" s="326" t="str">
        <f>IF(【進行】結果入力表!G16="","",【進行】結果入力表!G16)</f>
        <v>w</v>
      </c>
      <c r="G17" s="327"/>
      <c r="H17" s="153">
        <f t="shared" si="47"/>
        <v>1</v>
      </c>
      <c r="I17" s="153">
        <f t="shared" si="48"/>
        <v>0</v>
      </c>
      <c r="J17" s="328">
        <f t="shared" si="49"/>
        <v>180</v>
      </c>
      <c r="K17" s="329"/>
      <c r="L17" s="324">
        <f t="shared" si="50"/>
        <v>180</v>
      </c>
      <c r="M17" s="333"/>
      <c r="N17" s="326" t="str">
        <f>IF(【進行】結果入力表!F24="","",【進行】結果入力表!F24)</f>
        <v>w</v>
      </c>
      <c r="O17" s="327"/>
      <c r="P17" s="154">
        <f t="shared" si="51"/>
        <v>1</v>
      </c>
      <c r="Q17" s="154">
        <f t="shared" si="52"/>
        <v>0</v>
      </c>
      <c r="R17" s="153">
        <f t="shared" si="53"/>
        <v>2</v>
      </c>
      <c r="S17" s="153">
        <f t="shared" si="54"/>
        <v>0</v>
      </c>
      <c r="T17" s="328">
        <f t="shared" si="55"/>
        <v>360</v>
      </c>
      <c r="U17" s="329"/>
      <c r="V17" s="324">
        <f t="shared" si="56"/>
        <v>360</v>
      </c>
      <c r="W17" s="333"/>
      <c r="X17" s="326">
        <f>IF(【進行】結果入力表!G41="","",【進行】結果入力表!G41)</f>
        <v>103</v>
      </c>
      <c r="Y17" s="327"/>
      <c r="Z17" s="154">
        <f t="shared" si="57"/>
        <v>0</v>
      </c>
      <c r="AA17" s="154">
        <f t="shared" si="58"/>
        <v>1</v>
      </c>
      <c r="AB17" s="153">
        <f t="shared" si="59"/>
        <v>2</v>
      </c>
      <c r="AC17" s="153">
        <f t="shared" si="60"/>
        <v>1</v>
      </c>
      <c r="AD17" s="328">
        <f t="shared" si="61"/>
        <v>463</v>
      </c>
      <c r="AE17" s="329"/>
      <c r="AF17" s="324">
        <f t="shared" si="62"/>
        <v>463.00000000000006</v>
      </c>
      <c r="AG17" s="333"/>
      <c r="AH17" s="326">
        <f>IF(【進行】結果入力表!F49="","",【進行】結果入力表!F49)</f>
        <v>79</v>
      </c>
      <c r="AI17" s="327"/>
      <c r="AJ17" s="154">
        <f t="shared" si="63"/>
        <v>0</v>
      </c>
      <c r="AK17" s="154">
        <f t="shared" si="64"/>
        <v>1</v>
      </c>
      <c r="AL17" s="153">
        <f t="shared" si="65"/>
        <v>2</v>
      </c>
      <c r="AM17" s="153">
        <f t="shared" si="66"/>
        <v>2</v>
      </c>
      <c r="AN17" s="328">
        <f t="shared" si="67"/>
        <v>542</v>
      </c>
      <c r="AO17" s="329"/>
      <c r="AP17" s="324">
        <f t="shared" si="68"/>
        <v>542</v>
      </c>
      <c r="AQ17" s="333"/>
      <c r="AR17" s="326" t="str">
        <f>IF(【進行】結果入力表!G66="","",【進行】結果入力表!G66)</f>
        <v>w</v>
      </c>
      <c r="AS17" s="327"/>
      <c r="AT17" s="154">
        <f t="shared" si="69"/>
        <v>1</v>
      </c>
      <c r="AU17" s="154">
        <f t="shared" si="70"/>
        <v>0</v>
      </c>
      <c r="AV17" s="153">
        <f t="shared" si="71"/>
        <v>3</v>
      </c>
      <c r="AW17" s="153">
        <f t="shared" si="72"/>
        <v>2</v>
      </c>
      <c r="AX17" s="328">
        <f t="shared" si="73"/>
        <v>722</v>
      </c>
      <c r="AY17" s="329"/>
      <c r="AZ17" s="324">
        <f t="shared" si="74"/>
        <v>722</v>
      </c>
      <c r="BA17" s="325"/>
      <c r="BB17" s="326" t="str">
        <f>IF(【進行】結果入力表!F74="","",【進行】結果入力表!F74)</f>
        <v>w</v>
      </c>
      <c r="BC17" s="327"/>
      <c r="BD17" s="154">
        <f t="shared" si="75"/>
        <v>1</v>
      </c>
      <c r="BE17" s="154">
        <f t="shared" si="76"/>
        <v>0</v>
      </c>
      <c r="BF17" s="153">
        <f t="shared" si="77"/>
        <v>4</v>
      </c>
      <c r="BG17" s="153">
        <f t="shared" si="78"/>
        <v>2</v>
      </c>
      <c r="BH17" s="328">
        <f t="shared" si="79"/>
        <v>902</v>
      </c>
      <c r="BI17" s="329"/>
      <c r="BJ17" s="324">
        <f t="shared" si="80"/>
        <v>902</v>
      </c>
      <c r="BK17" s="327"/>
      <c r="BL17" s="187">
        <f t="shared" si="81"/>
        <v>1</v>
      </c>
      <c r="BM17" s="156" t="str">
        <f>IF(【進行】結果入力表!H16="","",【進行】結果入力表!H16)</f>
        <v/>
      </c>
      <c r="BN17" s="157" t="str">
        <f>IF(【進行】結果入力表!E24="","",【進行】結果入力表!E24)</f>
        <v/>
      </c>
      <c r="BO17" s="157" t="str">
        <f>IF(【進行】結果入力表!H41="","",【進行】結果入力表!H41)</f>
        <v/>
      </c>
      <c r="BP17" s="157" t="str">
        <f>IF(【進行】結果入力表!E49="","",【進行】結果入力表!E49)</f>
        <v/>
      </c>
      <c r="BQ17" s="157" t="str">
        <f>IF(【進行】結果入力表!H66="","",【進行】結果入力表!H66)</f>
        <v/>
      </c>
      <c r="BR17" s="158" t="str">
        <f>IF(【進行】結果入力表!E74="","",【進行】結果入力表!E74)</f>
        <v/>
      </c>
      <c r="BS17" s="114"/>
      <c r="BT17" s="125">
        <f t="shared" si="82"/>
        <v>0</v>
      </c>
      <c r="BU17" s="125">
        <f t="shared" si="82"/>
        <v>0</v>
      </c>
      <c r="BV17" s="125">
        <f t="shared" si="83"/>
        <v>0</v>
      </c>
      <c r="BW17" s="125">
        <f t="shared" si="84"/>
        <v>0</v>
      </c>
      <c r="BX17" s="125">
        <f t="shared" si="85"/>
        <v>10</v>
      </c>
      <c r="BY17" s="125" t="str">
        <f t="shared" si="86"/>
        <v>吉向　翔平</v>
      </c>
      <c r="BZ17" s="125" t="str">
        <f t="shared" si="87"/>
        <v>NRC</v>
      </c>
      <c r="CA17" s="125">
        <f t="shared" si="88"/>
        <v>0</v>
      </c>
      <c r="CB17" s="125"/>
      <c r="CC17" s="147">
        <f t="shared" si="89"/>
        <v>4</v>
      </c>
      <c r="CD17" s="148">
        <f t="shared" si="90"/>
        <v>2</v>
      </c>
      <c r="CE17" s="149">
        <f t="shared" si="91"/>
        <v>902</v>
      </c>
      <c r="CF17" s="150">
        <f t="shared" si="92"/>
        <v>400902</v>
      </c>
      <c r="CG17" s="114"/>
      <c r="CH17" s="114"/>
    </row>
    <row r="18" spans="1:86" ht="15" customHeight="1" x14ac:dyDescent="0.15">
      <c r="A18" s="353"/>
      <c r="B18" s="334" t="str">
        <f>IF(【準備】登録!$D$11=0,"",【準備】登録!$J$12)</f>
        <v>植田　慎也</v>
      </c>
      <c r="C18" s="335"/>
      <c r="D18" s="336"/>
      <c r="E18" s="152">
        <f>【準備】登録!L12</f>
        <v>180</v>
      </c>
      <c r="F18" s="326">
        <f>IF(【進行】結果入力表!G17="","",【進行】結果入力表!G17)</f>
        <v>15</v>
      </c>
      <c r="G18" s="327"/>
      <c r="H18" s="159">
        <f t="shared" si="47"/>
        <v>0</v>
      </c>
      <c r="I18" s="159">
        <f t="shared" si="48"/>
        <v>1</v>
      </c>
      <c r="J18" s="328">
        <f t="shared" si="49"/>
        <v>15</v>
      </c>
      <c r="K18" s="329"/>
      <c r="L18" s="324">
        <f t="shared" si="50"/>
        <v>15</v>
      </c>
      <c r="M18" s="333"/>
      <c r="N18" s="326">
        <f>IF(【進行】結果入力表!F25="","",【進行】結果入力表!F25)</f>
        <v>65</v>
      </c>
      <c r="O18" s="327"/>
      <c r="P18" s="160">
        <f t="shared" si="51"/>
        <v>0</v>
      </c>
      <c r="Q18" s="160">
        <f t="shared" si="52"/>
        <v>1</v>
      </c>
      <c r="R18" s="159">
        <f t="shared" si="53"/>
        <v>0</v>
      </c>
      <c r="S18" s="159">
        <f t="shared" si="54"/>
        <v>2</v>
      </c>
      <c r="T18" s="328">
        <f t="shared" si="55"/>
        <v>80</v>
      </c>
      <c r="U18" s="329"/>
      <c r="V18" s="324">
        <f t="shared" si="56"/>
        <v>80</v>
      </c>
      <c r="W18" s="333"/>
      <c r="X18" s="326">
        <f>IF(【進行】結果入力表!G42="","",【進行】結果入力表!G42)</f>
        <v>92</v>
      </c>
      <c r="Y18" s="327"/>
      <c r="Z18" s="160">
        <f t="shared" si="57"/>
        <v>0</v>
      </c>
      <c r="AA18" s="160">
        <f t="shared" si="58"/>
        <v>1</v>
      </c>
      <c r="AB18" s="159">
        <f t="shared" si="59"/>
        <v>0</v>
      </c>
      <c r="AC18" s="159">
        <f t="shared" si="60"/>
        <v>3</v>
      </c>
      <c r="AD18" s="328">
        <f t="shared" si="61"/>
        <v>172</v>
      </c>
      <c r="AE18" s="329"/>
      <c r="AF18" s="324">
        <f t="shared" si="62"/>
        <v>172</v>
      </c>
      <c r="AG18" s="333"/>
      <c r="AH18" s="326">
        <f>IF(【進行】結果入力表!F50="","",【進行】結果入力表!F50)</f>
        <v>155</v>
      </c>
      <c r="AI18" s="327"/>
      <c r="AJ18" s="160">
        <f t="shared" si="63"/>
        <v>0</v>
      </c>
      <c r="AK18" s="160">
        <f t="shared" si="64"/>
        <v>1</v>
      </c>
      <c r="AL18" s="159">
        <f t="shared" si="65"/>
        <v>0</v>
      </c>
      <c r="AM18" s="159">
        <f t="shared" si="66"/>
        <v>4</v>
      </c>
      <c r="AN18" s="328">
        <f t="shared" si="67"/>
        <v>327</v>
      </c>
      <c r="AO18" s="329"/>
      <c r="AP18" s="324">
        <f t="shared" si="68"/>
        <v>327</v>
      </c>
      <c r="AQ18" s="333"/>
      <c r="AR18" s="326">
        <f>IF(【進行】結果入力表!G67="","",【進行】結果入力表!G67)</f>
        <v>20</v>
      </c>
      <c r="AS18" s="327"/>
      <c r="AT18" s="160">
        <f t="shared" si="69"/>
        <v>0</v>
      </c>
      <c r="AU18" s="160">
        <f t="shared" si="70"/>
        <v>1</v>
      </c>
      <c r="AV18" s="159">
        <f t="shared" si="71"/>
        <v>0</v>
      </c>
      <c r="AW18" s="159">
        <f t="shared" si="72"/>
        <v>5</v>
      </c>
      <c r="AX18" s="328">
        <f t="shared" si="73"/>
        <v>347</v>
      </c>
      <c r="AY18" s="329"/>
      <c r="AZ18" s="324">
        <f t="shared" si="74"/>
        <v>347</v>
      </c>
      <c r="BA18" s="325"/>
      <c r="BB18" s="326" t="str">
        <f>IF(【進行】結果入力表!F75="","",【進行】結果入力表!F75)</f>
        <v>w</v>
      </c>
      <c r="BC18" s="327"/>
      <c r="BD18" s="160">
        <f t="shared" si="75"/>
        <v>1</v>
      </c>
      <c r="BE18" s="160">
        <f t="shared" si="76"/>
        <v>0</v>
      </c>
      <c r="BF18" s="159">
        <f t="shared" si="77"/>
        <v>1</v>
      </c>
      <c r="BG18" s="159">
        <f t="shared" si="78"/>
        <v>5</v>
      </c>
      <c r="BH18" s="328">
        <f t="shared" si="79"/>
        <v>527</v>
      </c>
      <c r="BI18" s="329"/>
      <c r="BJ18" s="324">
        <f t="shared" si="80"/>
        <v>527</v>
      </c>
      <c r="BK18" s="327"/>
      <c r="BL18" s="188">
        <f t="shared" si="81"/>
        <v>7</v>
      </c>
      <c r="BM18" s="156" t="str">
        <f>IF(【進行】結果入力表!H17="","",【進行】結果入力表!H17)</f>
        <v/>
      </c>
      <c r="BN18" s="157" t="str">
        <f>IF(【進行】結果入力表!E25="","",【進行】結果入力表!E25)</f>
        <v/>
      </c>
      <c r="BO18" s="157" t="str">
        <f>IF(【進行】結果入力表!H42="","",【進行】結果入力表!H42)</f>
        <v/>
      </c>
      <c r="BP18" s="157" t="str">
        <f>IF(【進行】結果入力表!E50="","",【進行】結果入力表!E50)</f>
        <v/>
      </c>
      <c r="BQ18" s="157" t="str">
        <f>IF(【進行】結果入力表!H67="","",【進行】結果入力表!H67)</f>
        <v/>
      </c>
      <c r="BR18" s="158" t="str">
        <f>IF(【進行】結果入力表!E75="","",【進行】結果入力表!E75)</f>
        <v/>
      </c>
      <c r="BS18" s="114"/>
      <c r="BT18" s="125">
        <f t="shared" si="82"/>
        <v>0</v>
      </c>
      <c r="BU18" s="125">
        <f t="shared" si="82"/>
        <v>0</v>
      </c>
      <c r="BV18" s="125">
        <f t="shared" si="83"/>
        <v>0</v>
      </c>
      <c r="BW18" s="125">
        <f t="shared" si="84"/>
        <v>0</v>
      </c>
      <c r="BX18" s="125">
        <f t="shared" si="85"/>
        <v>10</v>
      </c>
      <c r="BY18" s="125" t="str">
        <f t="shared" si="86"/>
        <v>植田　慎也</v>
      </c>
      <c r="BZ18" s="125" t="str">
        <f t="shared" si="87"/>
        <v>NRC</v>
      </c>
      <c r="CA18" s="125">
        <f t="shared" si="88"/>
        <v>0</v>
      </c>
      <c r="CB18" s="125"/>
      <c r="CC18" s="147">
        <f t="shared" si="89"/>
        <v>1</v>
      </c>
      <c r="CD18" s="148">
        <f t="shared" si="90"/>
        <v>5</v>
      </c>
      <c r="CE18" s="149">
        <f t="shared" si="91"/>
        <v>527</v>
      </c>
      <c r="CF18" s="150">
        <f t="shared" si="92"/>
        <v>100527</v>
      </c>
      <c r="CG18" s="114"/>
      <c r="CH18" s="114"/>
    </row>
    <row r="19" spans="1:86" ht="15" customHeight="1" x14ac:dyDescent="0.15">
      <c r="A19" s="353"/>
      <c r="B19" s="334" t="str">
        <f>IF(【準備】登録!$D$11=0,"",【準備】登録!$M$12)</f>
        <v>岩本　剛</v>
      </c>
      <c r="C19" s="335"/>
      <c r="D19" s="336"/>
      <c r="E19" s="152">
        <f>【準備】登録!O12</f>
        <v>180</v>
      </c>
      <c r="F19" s="326" t="str">
        <f>IF(【進行】結果入力表!G18="","",【進行】結果入力表!G18)</f>
        <v>w</v>
      </c>
      <c r="G19" s="327"/>
      <c r="H19" s="159">
        <f t="shared" si="47"/>
        <v>1</v>
      </c>
      <c r="I19" s="159">
        <f t="shared" si="48"/>
        <v>0</v>
      </c>
      <c r="J19" s="328">
        <f t="shared" si="49"/>
        <v>180</v>
      </c>
      <c r="K19" s="329"/>
      <c r="L19" s="324">
        <f t="shared" si="50"/>
        <v>180</v>
      </c>
      <c r="M19" s="333"/>
      <c r="N19" s="326">
        <f>IF(【進行】結果入力表!F26="","",【進行】結果入力表!F26)</f>
        <v>131</v>
      </c>
      <c r="O19" s="327"/>
      <c r="P19" s="160">
        <f t="shared" si="51"/>
        <v>0</v>
      </c>
      <c r="Q19" s="160">
        <f t="shared" si="52"/>
        <v>1</v>
      </c>
      <c r="R19" s="159">
        <f t="shared" si="53"/>
        <v>1</v>
      </c>
      <c r="S19" s="159">
        <f t="shared" si="54"/>
        <v>1</v>
      </c>
      <c r="T19" s="328">
        <f t="shared" si="55"/>
        <v>311</v>
      </c>
      <c r="U19" s="329"/>
      <c r="V19" s="324">
        <f t="shared" si="56"/>
        <v>311</v>
      </c>
      <c r="W19" s="333"/>
      <c r="X19" s="326">
        <f>IF(【進行】結果入力表!G43="","",【進行】結果入力表!G43)</f>
        <v>21</v>
      </c>
      <c r="Y19" s="327"/>
      <c r="Z19" s="160">
        <f t="shared" si="57"/>
        <v>0</v>
      </c>
      <c r="AA19" s="160">
        <f t="shared" si="58"/>
        <v>1</v>
      </c>
      <c r="AB19" s="159">
        <f t="shared" si="59"/>
        <v>1</v>
      </c>
      <c r="AC19" s="159">
        <f t="shared" si="60"/>
        <v>2</v>
      </c>
      <c r="AD19" s="328">
        <f t="shared" si="61"/>
        <v>332</v>
      </c>
      <c r="AE19" s="329"/>
      <c r="AF19" s="324">
        <f t="shared" si="62"/>
        <v>332</v>
      </c>
      <c r="AG19" s="333"/>
      <c r="AH19" s="326" t="str">
        <f>IF(【進行】結果入力表!F51="","",【進行】結果入力表!F51)</f>
        <v>w</v>
      </c>
      <c r="AI19" s="327"/>
      <c r="AJ19" s="160">
        <f t="shared" si="63"/>
        <v>1</v>
      </c>
      <c r="AK19" s="160">
        <f t="shared" si="64"/>
        <v>0</v>
      </c>
      <c r="AL19" s="159">
        <f t="shared" si="65"/>
        <v>2</v>
      </c>
      <c r="AM19" s="159">
        <f t="shared" si="66"/>
        <v>2</v>
      </c>
      <c r="AN19" s="328">
        <f t="shared" si="67"/>
        <v>512</v>
      </c>
      <c r="AO19" s="329"/>
      <c r="AP19" s="324">
        <f t="shared" si="68"/>
        <v>512</v>
      </c>
      <c r="AQ19" s="333"/>
      <c r="AR19" s="326">
        <f>IF(【進行】結果入力表!G68="","",【進行】結果入力表!G68)</f>
        <v>59</v>
      </c>
      <c r="AS19" s="327"/>
      <c r="AT19" s="160">
        <f t="shared" si="69"/>
        <v>0</v>
      </c>
      <c r="AU19" s="160">
        <f t="shared" si="70"/>
        <v>1</v>
      </c>
      <c r="AV19" s="159">
        <f t="shared" si="71"/>
        <v>2</v>
      </c>
      <c r="AW19" s="159">
        <f t="shared" si="72"/>
        <v>3</v>
      </c>
      <c r="AX19" s="328">
        <f t="shared" si="73"/>
        <v>571</v>
      </c>
      <c r="AY19" s="329"/>
      <c r="AZ19" s="324">
        <f t="shared" si="74"/>
        <v>571</v>
      </c>
      <c r="BA19" s="325"/>
      <c r="BB19" s="326" t="str">
        <f>IF(【進行】結果入力表!F76="","",【進行】結果入力表!F76)</f>
        <v>w</v>
      </c>
      <c r="BC19" s="327"/>
      <c r="BD19" s="160">
        <f t="shared" si="75"/>
        <v>1</v>
      </c>
      <c r="BE19" s="160">
        <f t="shared" si="76"/>
        <v>0</v>
      </c>
      <c r="BF19" s="159">
        <f t="shared" si="77"/>
        <v>3</v>
      </c>
      <c r="BG19" s="159">
        <f t="shared" si="78"/>
        <v>3</v>
      </c>
      <c r="BH19" s="328">
        <f t="shared" si="79"/>
        <v>751</v>
      </c>
      <c r="BI19" s="329"/>
      <c r="BJ19" s="324">
        <f t="shared" si="80"/>
        <v>751</v>
      </c>
      <c r="BK19" s="327"/>
      <c r="BL19" s="187">
        <f t="shared" si="81"/>
        <v>3</v>
      </c>
      <c r="BM19" s="156" t="str">
        <f>IF(【進行】結果入力表!H18="","",【進行】結果入力表!H18)</f>
        <v/>
      </c>
      <c r="BN19" s="157" t="str">
        <f>IF(【進行】結果入力表!E26="","",【進行】結果入力表!E26)</f>
        <v/>
      </c>
      <c r="BO19" s="157" t="str">
        <f>IF(【進行】結果入力表!H43="","",【進行】結果入力表!H43)</f>
        <v/>
      </c>
      <c r="BP19" s="157" t="str">
        <f>IF(【進行】結果入力表!E51="","",【進行】結果入力表!E51)</f>
        <v/>
      </c>
      <c r="BQ19" s="157" t="str">
        <f>IF(【進行】結果入力表!H68="","",【進行】結果入力表!H68)</f>
        <v/>
      </c>
      <c r="BR19" s="158" t="str">
        <f>IF(【進行】結果入力表!E76="","",【進行】結果入力表!E76)</f>
        <v/>
      </c>
      <c r="BS19" s="114"/>
      <c r="BT19" s="125">
        <f t="shared" si="82"/>
        <v>0</v>
      </c>
      <c r="BU19" s="125">
        <f t="shared" si="82"/>
        <v>0</v>
      </c>
      <c r="BV19" s="125">
        <f t="shared" si="83"/>
        <v>0</v>
      </c>
      <c r="BW19" s="125">
        <f t="shared" si="84"/>
        <v>0</v>
      </c>
      <c r="BX19" s="125">
        <f t="shared" si="85"/>
        <v>10</v>
      </c>
      <c r="BY19" s="125" t="str">
        <f t="shared" si="86"/>
        <v>岩本　剛</v>
      </c>
      <c r="BZ19" s="125" t="str">
        <f t="shared" si="87"/>
        <v>NRC</v>
      </c>
      <c r="CA19" s="125">
        <f t="shared" si="88"/>
        <v>0</v>
      </c>
      <c r="CB19" s="125"/>
      <c r="CC19" s="147">
        <f t="shared" si="89"/>
        <v>3</v>
      </c>
      <c r="CD19" s="148">
        <f t="shared" si="90"/>
        <v>3</v>
      </c>
      <c r="CE19" s="149">
        <f t="shared" si="91"/>
        <v>751</v>
      </c>
      <c r="CF19" s="150">
        <f t="shared" si="92"/>
        <v>300751</v>
      </c>
      <c r="CG19" s="114"/>
      <c r="CH19" s="114"/>
    </row>
    <row r="20" spans="1:86" ht="15" customHeight="1" x14ac:dyDescent="0.15">
      <c r="A20" s="353"/>
      <c r="B20" s="334" t="str">
        <f>IF(【準備】登録!$D$11=0,"",【準備】登録!$P$12)</f>
        <v>斎藤　大輔</v>
      </c>
      <c r="C20" s="335"/>
      <c r="D20" s="336"/>
      <c r="E20" s="152">
        <f>【準備】登録!R12</f>
        <v>180</v>
      </c>
      <c r="F20" s="326">
        <f>IF(【進行】結果入力表!G19="","",【進行】結果入力表!G19)</f>
        <v>126</v>
      </c>
      <c r="G20" s="327"/>
      <c r="H20" s="159">
        <f t="shared" si="47"/>
        <v>0</v>
      </c>
      <c r="I20" s="159">
        <f t="shared" si="48"/>
        <v>1</v>
      </c>
      <c r="J20" s="328">
        <f t="shared" si="49"/>
        <v>126</v>
      </c>
      <c r="K20" s="329"/>
      <c r="L20" s="324">
        <f t="shared" si="50"/>
        <v>125.99999999999999</v>
      </c>
      <c r="M20" s="333"/>
      <c r="N20" s="326">
        <f>IF(【進行】結果入力表!F27="","",【進行】結果入力表!F27)</f>
        <v>126</v>
      </c>
      <c r="O20" s="327"/>
      <c r="P20" s="160">
        <f t="shared" si="51"/>
        <v>0</v>
      </c>
      <c r="Q20" s="160">
        <f t="shared" si="52"/>
        <v>1</v>
      </c>
      <c r="R20" s="159">
        <f t="shared" si="53"/>
        <v>0</v>
      </c>
      <c r="S20" s="159">
        <f t="shared" si="54"/>
        <v>2</v>
      </c>
      <c r="T20" s="328">
        <f t="shared" si="55"/>
        <v>252</v>
      </c>
      <c r="U20" s="329"/>
      <c r="V20" s="324">
        <f t="shared" si="56"/>
        <v>251.99999999999997</v>
      </c>
      <c r="W20" s="333"/>
      <c r="X20" s="326">
        <f>IF(【進行】結果入力表!G44="","",【進行】結果入力表!G44)</f>
        <v>46</v>
      </c>
      <c r="Y20" s="327"/>
      <c r="Z20" s="160">
        <f t="shared" si="57"/>
        <v>0</v>
      </c>
      <c r="AA20" s="160">
        <f t="shared" si="58"/>
        <v>1</v>
      </c>
      <c r="AB20" s="159">
        <f t="shared" si="59"/>
        <v>0</v>
      </c>
      <c r="AC20" s="159">
        <f t="shared" si="60"/>
        <v>3</v>
      </c>
      <c r="AD20" s="328">
        <f t="shared" si="61"/>
        <v>298</v>
      </c>
      <c r="AE20" s="329"/>
      <c r="AF20" s="324">
        <f t="shared" si="62"/>
        <v>298</v>
      </c>
      <c r="AG20" s="333"/>
      <c r="AH20" s="326">
        <f>IF(【進行】結果入力表!F52="","",【進行】結果入力表!F52)</f>
        <v>108</v>
      </c>
      <c r="AI20" s="327"/>
      <c r="AJ20" s="160">
        <f t="shared" si="63"/>
        <v>0</v>
      </c>
      <c r="AK20" s="160">
        <f t="shared" si="64"/>
        <v>1</v>
      </c>
      <c r="AL20" s="159">
        <f t="shared" si="65"/>
        <v>0</v>
      </c>
      <c r="AM20" s="159">
        <f t="shared" si="66"/>
        <v>4</v>
      </c>
      <c r="AN20" s="328">
        <f t="shared" si="67"/>
        <v>406</v>
      </c>
      <c r="AO20" s="329"/>
      <c r="AP20" s="324">
        <f t="shared" si="68"/>
        <v>406</v>
      </c>
      <c r="AQ20" s="333"/>
      <c r="AR20" s="326">
        <f>IF(【進行】結果入力表!G69="","",【進行】結果入力表!G69)</f>
        <v>30</v>
      </c>
      <c r="AS20" s="327"/>
      <c r="AT20" s="160">
        <f t="shared" si="69"/>
        <v>0</v>
      </c>
      <c r="AU20" s="160">
        <f t="shared" si="70"/>
        <v>1</v>
      </c>
      <c r="AV20" s="159">
        <f t="shared" si="71"/>
        <v>0</v>
      </c>
      <c r="AW20" s="159">
        <f t="shared" si="72"/>
        <v>5</v>
      </c>
      <c r="AX20" s="328">
        <f t="shared" si="73"/>
        <v>436</v>
      </c>
      <c r="AY20" s="329"/>
      <c r="AZ20" s="324">
        <f t="shared" si="74"/>
        <v>435.99999999999994</v>
      </c>
      <c r="BA20" s="325"/>
      <c r="BB20" s="326" t="str">
        <f>IF(【進行】結果入力表!F77="","",【進行】結果入力表!F77)</f>
        <v>w</v>
      </c>
      <c r="BC20" s="327"/>
      <c r="BD20" s="160">
        <f t="shared" si="75"/>
        <v>1</v>
      </c>
      <c r="BE20" s="160">
        <f t="shared" si="76"/>
        <v>0</v>
      </c>
      <c r="BF20" s="159">
        <f t="shared" si="77"/>
        <v>1</v>
      </c>
      <c r="BG20" s="159">
        <f t="shared" si="78"/>
        <v>5</v>
      </c>
      <c r="BH20" s="328">
        <f t="shared" si="79"/>
        <v>616</v>
      </c>
      <c r="BI20" s="329"/>
      <c r="BJ20" s="324">
        <f t="shared" si="80"/>
        <v>616</v>
      </c>
      <c r="BK20" s="327"/>
      <c r="BL20" s="188">
        <f t="shared" si="81"/>
        <v>5</v>
      </c>
      <c r="BM20" s="156" t="str">
        <f>IF(【進行】結果入力表!H19="","",【進行】結果入力表!H19)</f>
        <v/>
      </c>
      <c r="BN20" s="157" t="str">
        <f>IF(【進行】結果入力表!E27="","",【進行】結果入力表!E27)</f>
        <v/>
      </c>
      <c r="BO20" s="157" t="str">
        <f>IF(【進行】結果入力表!H44="","",【進行】結果入力表!H44)</f>
        <v/>
      </c>
      <c r="BP20" s="157" t="str">
        <f>IF(【進行】結果入力表!E52="","",【進行】結果入力表!E52)</f>
        <v/>
      </c>
      <c r="BQ20" s="157" t="str">
        <f>IF(【進行】結果入力表!H69="","",【進行】結果入力表!H69)</f>
        <v/>
      </c>
      <c r="BR20" s="158" t="str">
        <f>IF(【進行】結果入力表!E77="","",【進行】結果入力表!E77)</f>
        <v/>
      </c>
      <c r="BS20" s="114"/>
      <c r="BT20" s="125">
        <f t="shared" si="82"/>
        <v>0</v>
      </c>
      <c r="BU20" s="125">
        <f t="shared" si="82"/>
        <v>0</v>
      </c>
      <c r="BV20" s="125">
        <f t="shared" si="83"/>
        <v>0</v>
      </c>
      <c r="BW20" s="125">
        <f t="shared" si="84"/>
        <v>0</v>
      </c>
      <c r="BX20" s="125">
        <f t="shared" si="85"/>
        <v>10</v>
      </c>
      <c r="BY20" s="125" t="str">
        <f t="shared" si="86"/>
        <v>斎藤　大輔</v>
      </c>
      <c r="BZ20" s="125" t="str">
        <f t="shared" si="87"/>
        <v>NRC</v>
      </c>
      <c r="CA20" s="125">
        <f t="shared" si="88"/>
        <v>0</v>
      </c>
      <c r="CB20" s="125"/>
      <c r="CC20" s="147">
        <f t="shared" si="89"/>
        <v>1</v>
      </c>
      <c r="CD20" s="148">
        <f t="shared" si="90"/>
        <v>5</v>
      </c>
      <c r="CE20" s="149">
        <f t="shared" si="91"/>
        <v>616</v>
      </c>
      <c r="CF20" s="150">
        <f t="shared" si="92"/>
        <v>100616</v>
      </c>
      <c r="CG20" s="114"/>
      <c r="CH20" s="114"/>
    </row>
    <row r="21" spans="1:86" ht="15" customHeight="1" x14ac:dyDescent="0.15">
      <c r="A21" s="353"/>
      <c r="B21" s="334" t="str">
        <f>IF(【準備】登録!$D$11=0,"",【準備】登録!$S$12)</f>
        <v>長谷川　進</v>
      </c>
      <c r="C21" s="335"/>
      <c r="D21" s="336"/>
      <c r="E21" s="152">
        <f>【準備】登録!U12</f>
        <v>180</v>
      </c>
      <c r="F21" s="326" t="str">
        <f>IF(【進行】結果入力表!G20="","",【進行】結果入力表!G20)</f>
        <v>w</v>
      </c>
      <c r="G21" s="327"/>
      <c r="H21" s="159">
        <f t="shared" si="47"/>
        <v>1</v>
      </c>
      <c r="I21" s="159">
        <f t="shared" si="48"/>
        <v>0</v>
      </c>
      <c r="J21" s="328">
        <f t="shared" si="49"/>
        <v>180</v>
      </c>
      <c r="K21" s="329"/>
      <c r="L21" s="324">
        <f t="shared" si="50"/>
        <v>180</v>
      </c>
      <c r="M21" s="333"/>
      <c r="N21" s="326">
        <f>IF(【進行】結果入力表!F28="","",【進行】結果入力表!F28)</f>
        <v>20</v>
      </c>
      <c r="O21" s="327"/>
      <c r="P21" s="160">
        <f t="shared" si="51"/>
        <v>0</v>
      </c>
      <c r="Q21" s="160">
        <f t="shared" si="52"/>
        <v>1</v>
      </c>
      <c r="R21" s="159">
        <f t="shared" si="53"/>
        <v>1</v>
      </c>
      <c r="S21" s="159">
        <f t="shared" si="54"/>
        <v>1</v>
      </c>
      <c r="T21" s="328">
        <f t="shared" si="55"/>
        <v>200</v>
      </c>
      <c r="U21" s="329"/>
      <c r="V21" s="324">
        <f t="shared" si="56"/>
        <v>200</v>
      </c>
      <c r="W21" s="333"/>
      <c r="X21" s="326">
        <f>IF(【進行】結果入力表!G45="","",【進行】結果入力表!G45)</f>
        <v>43</v>
      </c>
      <c r="Y21" s="327"/>
      <c r="Z21" s="160">
        <f t="shared" si="57"/>
        <v>0</v>
      </c>
      <c r="AA21" s="160">
        <f t="shared" si="58"/>
        <v>1</v>
      </c>
      <c r="AB21" s="159">
        <f t="shared" si="59"/>
        <v>1</v>
      </c>
      <c r="AC21" s="159">
        <f t="shared" si="60"/>
        <v>2</v>
      </c>
      <c r="AD21" s="328">
        <f t="shared" si="61"/>
        <v>243</v>
      </c>
      <c r="AE21" s="329"/>
      <c r="AF21" s="324">
        <f t="shared" si="62"/>
        <v>243.00000000000003</v>
      </c>
      <c r="AG21" s="333"/>
      <c r="AH21" s="326">
        <f>IF(【進行】結果入力表!F53="","",【進行】結果入力表!F53)</f>
        <v>127</v>
      </c>
      <c r="AI21" s="327"/>
      <c r="AJ21" s="160">
        <f t="shared" si="63"/>
        <v>0</v>
      </c>
      <c r="AK21" s="160">
        <f t="shared" si="64"/>
        <v>1</v>
      </c>
      <c r="AL21" s="159">
        <f t="shared" si="65"/>
        <v>1</v>
      </c>
      <c r="AM21" s="159">
        <f t="shared" si="66"/>
        <v>3</v>
      </c>
      <c r="AN21" s="328">
        <f t="shared" si="67"/>
        <v>370</v>
      </c>
      <c r="AO21" s="329"/>
      <c r="AP21" s="324">
        <f t="shared" si="68"/>
        <v>369.99999999999994</v>
      </c>
      <c r="AQ21" s="333"/>
      <c r="AR21" s="326">
        <f>IF(【進行】結果入力表!I70="",IF(【進行】結果入力表!G63="","",【進行】結果入力表!G63),IF(【進行】結果入力表!G70="","",【進行】結果入力表!G70))</f>
        <v>131</v>
      </c>
      <c r="AS21" s="327"/>
      <c r="AT21" s="160">
        <f t="shared" si="69"/>
        <v>0</v>
      </c>
      <c r="AU21" s="160">
        <f t="shared" si="70"/>
        <v>1</v>
      </c>
      <c r="AV21" s="159">
        <f t="shared" si="71"/>
        <v>1</v>
      </c>
      <c r="AW21" s="159">
        <f t="shared" si="72"/>
        <v>4</v>
      </c>
      <c r="AX21" s="328">
        <f t="shared" si="73"/>
        <v>501</v>
      </c>
      <c r="AY21" s="329"/>
      <c r="AZ21" s="324">
        <f t="shared" si="74"/>
        <v>501</v>
      </c>
      <c r="BA21" s="325"/>
      <c r="BB21" s="326">
        <f>IF(【進行】結果入力表!$D$78="",IF(【進行】結果入力表!F71="","",【進行】結果入力表!F71),IF(【進行】結果入力表!F78="","",【進行】結果入力表!F78))</f>
        <v>82</v>
      </c>
      <c r="BC21" s="327"/>
      <c r="BD21" s="160">
        <f t="shared" si="75"/>
        <v>0</v>
      </c>
      <c r="BE21" s="160">
        <f t="shared" si="76"/>
        <v>1</v>
      </c>
      <c r="BF21" s="159">
        <f t="shared" si="77"/>
        <v>1</v>
      </c>
      <c r="BG21" s="159">
        <f t="shared" si="78"/>
        <v>5</v>
      </c>
      <c r="BH21" s="328">
        <f t="shared" si="79"/>
        <v>583</v>
      </c>
      <c r="BI21" s="329"/>
      <c r="BJ21" s="324">
        <f t="shared" si="80"/>
        <v>583</v>
      </c>
      <c r="BK21" s="327"/>
      <c r="BL21" s="187">
        <f t="shared" si="81"/>
        <v>6</v>
      </c>
      <c r="BM21" s="156" t="str">
        <f>IF(【進行】結果入力表!H20="","",【進行】結果入力表!H20)</f>
        <v/>
      </c>
      <c r="BN21" s="157" t="str">
        <f>IF(【進行】結果入力表!E28="","",【進行】結果入力表!E28)</f>
        <v/>
      </c>
      <c r="BO21" s="157" t="str">
        <f>IF(【進行】結果入力表!H45="","",【進行】結果入力表!H45)</f>
        <v/>
      </c>
      <c r="BP21" s="157" t="str">
        <f>IF(【進行】結果入力表!E53="","",【進行】結果入力表!E53)</f>
        <v/>
      </c>
      <c r="BQ21" s="157" t="str">
        <f>IF(【進行】結果入力表!I70="",IF(【進行】結果入力表!H63="","",【進行】結果入力表!H63),IF(【進行】結果入力表!H70="","",【進行】結果入力表!H70))</f>
        <v/>
      </c>
      <c r="BR21" s="158" t="str">
        <f>IF(【進行】結果入力表!D78="",IF(【進行】結果入力表!E71="","",【進行】結果入力表!E71),IF(【進行】結果入力表!E78="","",【進行】結果入力表!E78))</f>
        <v/>
      </c>
      <c r="BS21" s="114"/>
      <c r="BT21" s="125">
        <f t="shared" si="82"/>
        <v>0</v>
      </c>
      <c r="BU21" s="125">
        <f t="shared" si="82"/>
        <v>0</v>
      </c>
      <c r="BV21" s="125">
        <f t="shared" si="83"/>
        <v>0</v>
      </c>
      <c r="BW21" s="125">
        <f t="shared" si="84"/>
        <v>0</v>
      </c>
      <c r="BX21" s="125">
        <f t="shared" si="85"/>
        <v>10</v>
      </c>
      <c r="BY21" s="125" t="str">
        <f t="shared" si="86"/>
        <v>長谷川　進</v>
      </c>
      <c r="BZ21" s="125" t="str">
        <f t="shared" si="87"/>
        <v>NRC</v>
      </c>
      <c r="CA21" s="125">
        <f t="shared" si="88"/>
        <v>0</v>
      </c>
      <c r="CB21" s="125"/>
      <c r="CC21" s="147">
        <f t="shared" si="89"/>
        <v>1</v>
      </c>
      <c r="CD21" s="148">
        <f t="shared" si="90"/>
        <v>5</v>
      </c>
      <c r="CE21" s="149">
        <f t="shared" si="91"/>
        <v>583</v>
      </c>
      <c r="CF21" s="150">
        <f t="shared" si="92"/>
        <v>100583</v>
      </c>
      <c r="CG21" s="114"/>
      <c r="CH21" s="114"/>
    </row>
    <row r="22" spans="1:86" ht="15" customHeight="1" x14ac:dyDescent="0.15">
      <c r="A22" s="353"/>
      <c r="B22" s="334" t="str">
        <f>IF(【準備】登録!$D$11=0,"",【準備】登録!$V$12)</f>
        <v>白戸　恭子</v>
      </c>
      <c r="C22" s="335"/>
      <c r="D22" s="336"/>
      <c r="E22" s="152">
        <f>【準備】登録!X12</f>
        <v>140</v>
      </c>
      <c r="F22" s="326">
        <f>IF(【進行】結果入力表!G21="","",【進行】結果入力表!G21)</f>
        <v>59</v>
      </c>
      <c r="G22" s="327"/>
      <c r="H22" s="159">
        <f t="shared" si="47"/>
        <v>0</v>
      </c>
      <c r="I22" s="159">
        <f t="shared" si="48"/>
        <v>1</v>
      </c>
      <c r="J22" s="328">
        <f t="shared" si="49"/>
        <v>59</v>
      </c>
      <c r="K22" s="329"/>
      <c r="L22" s="324">
        <f t="shared" si="50"/>
        <v>75.857142857142861</v>
      </c>
      <c r="M22" s="333"/>
      <c r="N22" s="326" t="str">
        <f>IF(【進行】結果入力表!F29="","",【進行】結果入力表!F29)</f>
        <v>w</v>
      </c>
      <c r="O22" s="327"/>
      <c r="P22" s="160">
        <f t="shared" si="51"/>
        <v>1</v>
      </c>
      <c r="Q22" s="160">
        <f t="shared" si="52"/>
        <v>0</v>
      </c>
      <c r="R22" s="159">
        <f t="shared" si="53"/>
        <v>1</v>
      </c>
      <c r="S22" s="159">
        <f t="shared" si="54"/>
        <v>1</v>
      </c>
      <c r="T22" s="328">
        <f t="shared" si="55"/>
        <v>199</v>
      </c>
      <c r="U22" s="329"/>
      <c r="V22" s="324">
        <f t="shared" si="56"/>
        <v>255.85714285714286</v>
      </c>
      <c r="W22" s="333"/>
      <c r="X22" s="326" t="str">
        <f>IF(【進行】結果入力表!I46="",IF(【進行】結果入力表!G39="","",【進行】結果入力表!G39),IF(【進行】結果入力表!G46="","",【進行】結果入力表!G46))</f>
        <v>w</v>
      </c>
      <c r="Y22" s="327"/>
      <c r="Z22" s="160">
        <f t="shared" si="57"/>
        <v>1</v>
      </c>
      <c r="AA22" s="160">
        <f t="shared" si="58"/>
        <v>0</v>
      </c>
      <c r="AB22" s="159">
        <f t="shared" si="59"/>
        <v>2</v>
      </c>
      <c r="AC22" s="159">
        <f t="shared" si="60"/>
        <v>1</v>
      </c>
      <c r="AD22" s="328">
        <f t="shared" si="61"/>
        <v>339</v>
      </c>
      <c r="AE22" s="329"/>
      <c r="AF22" s="324">
        <f t="shared" si="62"/>
        <v>435.85714285714283</v>
      </c>
      <c r="AG22" s="333"/>
      <c r="AH22" s="326">
        <f>IF(【進行】結果入力表!$D$54="",IF(【進行】結果入力表!F47="","",【進行】結果入力表!F47),IF(【進行】結果入力表!F54="","",【進行】結果入力表!F54))</f>
        <v>24</v>
      </c>
      <c r="AI22" s="327"/>
      <c r="AJ22" s="160">
        <f t="shared" si="63"/>
        <v>0</v>
      </c>
      <c r="AK22" s="160">
        <f t="shared" si="64"/>
        <v>1</v>
      </c>
      <c r="AL22" s="159">
        <f t="shared" si="65"/>
        <v>2</v>
      </c>
      <c r="AM22" s="159">
        <f t="shared" si="66"/>
        <v>2</v>
      </c>
      <c r="AN22" s="328">
        <f t="shared" si="67"/>
        <v>363</v>
      </c>
      <c r="AO22" s="329"/>
      <c r="AP22" s="324">
        <f t="shared" si="68"/>
        <v>466.71428571428572</v>
      </c>
      <c r="AQ22" s="333"/>
      <c r="AR22" s="326" t="str">
        <f>IF(【進行】結果入力表!I70="",IF(【進行】結果入力表!G64="","",【進行】結果入力表!G64),IF(【進行】結果入力表!G63="","",【進行】結果入力表!G63))</f>
        <v>w</v>
      </c>
      <c r="AS22" s="327"/>
      <c r="AT22" s="160">
        <f t="shared" si="69"/>
        <v>1</v>
      </c>
      <c r="AU22" s="160">
        <f t="shared" si="70"/>
        <v>0</v>
      </c>
      <c r="AV22" s="159">
        <f t="shared" si="71"/>
        <v>3</v>
      </c>
      <c r="AW22" s="159">
        <f t="shared" si="72"/>
        <v>2</v>
      </c>
      <c r="AX22" s="328">
        <f t="shared" si="73"/>
        <v>503</v>
      </c>
      <c r="AY22" s="329"/>
      <c r="AZ22" s="324">
        <f t="shared" si="74"/>
        <v>646.71428571428578</v>
      </c>
      <c r="BA22" s="325"/>
      <c r="BB22" s="326">
        <f>IF(【進行】結果入力表!$D$78="",IF(【進行】結果入力表!F72="","",【進行】結果入力表!F72),IF(【進行】結果入力表!F71="","",【進行】結果入力表!F71))</f>
        <v>49</v>
      </c>
      <c r="BC22" s="327"/>
      <c r="BD22" s="160">
        <f t="shared" si="75"/>
        <v>0</v>
      </c>
      <c r="BE22" s="160">
        <f t="shared" si="76"/>
        <v>1</v>
      </c>
      <c r="BF22" s="159">
        <f t="shared" si="77"/>
        <v>3</v>
      </c>
      <c r="BG22" s="159">
        <f t="shared" si="78"/>
        <v>3</v>
      </c>
      <c r="BH22" s="328">
        <f t="shared" si="79"/>
        <v>552</v>
      </c>
      <c r="BI22" s="329"/>
      <c r="BJ22" s="324">
        <f t="shared" si="80"/>
        <v>709.71428571428578</v>
      </c>
      <c r="BK22" s="327"/>
      <c r="BL22" s="188">
        <f t="shared" si="81"/>
        <v>4</v>
      </c>
      <c r="BM22" s="156" t="str">
        <f>IF(【進行】結果入力表!H21="","",【進行】結果入力表!H21)</f>
        <v/>
      </c>
      <c r="BN22" s="157" t="str">
        <f>IF(【進行】結果入力表!E29="","",【進行】結果入力表!E29)</f>
        <v/>
      </c>
      <c r="BO22" s="157" t="str">
        <f>IF(【進行】結果入力表!I46="",IF(【進行】結果入力表!H39="","",【進行】結果入力表!H39),IF(【進行】結果入力表!H46="","",【進行】結果入力表!H46))</f>
        <v/>
      </c>
      <c r="BP22" s="157" t="str">
        <f>IF(【進行】結果入力表!D54="",IF(【進行】結果入力表!E47="","",【進行】結果入力表!E47),IF(【進行】結果入力表!E54="","",【進行】結果入力表!E54))</f>
        <v/>
      </c>
      <c r="BQ22" s="157" t="str">
        <f>IF(【進行】結果入力表!I70="",IF(【進行】結果入力表!H64="","",【進行】結果入力表!H64),IF(【進行】結果入力表!H63="","",【進行】結果入力表!H63))</f>
        <v/>
      </c>
      <c r="BR22" s="158" t="str">
        <f>IF(【進行】結果入力表!D78="",IF(【進行】結果入力表!E72="","",【進行】結果入力表!E72),IF(【進行】結果入力表!E71="","",【進行】結果入力表!E71))</f>
        <v/>
      </c>
      <c r="BS22" s="114"/>
      <c r="BT22" s="125">
        <f t="shared" si="82"/>
        <v>0</v>
      </c>
      <c r="BU22" s="125">
        <f t="shared" si="82"/>
        <v>0</v>
      </c>
      <c r="BV22" s="125">
        <f t="shared" si="83"/>
        <v>0</v>
      </c>
      <c r="BW22" s="125">
        <f t="shared" si="84"/>
        <v>0</v>
      </c>
      <c r="BX22" s="125">
        <f t="shared" si="85"/>
        <v>10</v>
      </c>
      <c r="BY22" s="125" t="str">
        <f t="shared" si="86"/>
        <v>白戸　恭子</v>
      </c>
      <c r="BZ22" s="125" t="str">
        <f t="shared" si="87"/>
        <v>NRC</v>
      </c>
      <c r="CA22" s="125">
        <f t="shared" si="88"/>
        <v>0</v>
      </c>
      <c r="CB22" s="125"/>
      <c r="CC22" s="147">
        <f t="shared" si="89"/>
        <v>3</v>
      </c>
      <c r="CD22" s="148">
        <f t="shared" si="90"/>
        <v>3</v>
      </c>
      <c r="CE22" s="149">
        <f t="shared" si="91"/>
        <v>709.71428571428578</v>
      </c>
      <c r="CF22" s="150">
        <f t="shared" si="92"/>
        <v>300709.71428571426</v>
      </c>
      <c r="CG22" s="114"/>
      <c r="CH22" s="114"/>
    </row>
    <row r="23" spans="1:86" ht="15" customHeight="1" thickBot="1" x14ac:dyDescent="0.2">
      <c r="A23" s="353"/>
      <c r="B23" s="330" t="str">
        <f>IF(【準備】登録!$Y$12=0,"",【準備】登録!$Y$12)</f>
        <v/>
      </c>
      <c r="C23" s="331"/>
      <c r="D23" s="332"/>
      <c r="E23" s="164" t="str">
        <f>IF(【準備】登録!$Y$12="","",【準備】登録!AA12)</f>
        <v/>
      </c>
      <c r="F23" s="320" t="str">
        <f>IF(【進行】結果入力表!G22="","",【進行】結果入力表!G22)</f>
        <v/>
      </c>
      <c r="G23" s="315"/>
      <c r="H23" s="165" t="str">
        <f t="shared" si="47"/>
        <v/>
      </c>
      <c r="I23" s="165" t="str">
        <f t="shared" si="48"/>
        <v/>
      </c>
      <c r="J23" s="321" t="str">
        <f t="shared" si="49"/>
        <v/>
      </c>
      <c r="K23" s="322"/>
      <c r="L23" s="314" t="str">
        <f t="shared" si="50"/>
        <v/>
      </c>
      <c r="M23" s="319"/>
      <c r="N23" s="320" t="str">
        <f>IF(【進行】結果入力表!F30="","",【進行】結果入力表!F30)</f>
        <v/>
      </c>
      <c r="O23" s="315"/>
      <c r="P23" s="166" t="str">
        <f t="shared" si="51"/>
        <v/>
      </c>
      <c r="Q23" s="166" t="str">
        <f t="shared" si="52"/>
        <v/>
      </c>
      <c r="R23" s="165" t="str">
        <f t="shared" si="53"/>
        <v/>
      </c>
      <c r="S23" s="165" t="str">
        <f t="shared" si="54"/>
        <v/>
      </c>
      <c r="T23" s="321" t="str">
        <f t="shared" si="55"/>
        <v/>
      </c>
      <c r="U23" s="322"/>
      <c r="V23" s="314" t="str">
        <f t="shared" si="56"/>
        <v/>
      </c>
      <c r="W23" s="319"/>
      <c r="X23" s="320" t="str">
        <f>IF(【進行】結果入力表!I46="","",IF(【進行】結果入力表!G39="","",【進行】結果入力表!G39))</f>
        <v/>
      </c>
      <c r="Y23" s="315"/>
      <c r="Z23" s="166" t="str">
        <f t="shared" si="57"/>
        <v/>
      </c>
      <c r="AA23" s="166" t="str">
        <f t="shared" si="58"/>
        <v/>
      </c>
      <c r="AB23" s="165" t="str">
        <f t="shared" si="59"/>
        <v/>
      </c>
      <c r="AC23" s="165" t="str">
        <f t="shared" si="60"/>
        <v/>
      </c>
      <c r="AD23" s="321" t="str">
        <f t="shared" si="61"/>
        <v/>
      </c>
      <c r="AE23" s="322"/>
      <c r="AF23" s="314" t="str">
        <f t="shared" si="62"/>
        <v/>
      </c>
      <c r="AG23" s="319"/>
      <c r="AH23" s="320" t="str">
        <f>IF(【進行】結果入力表!D54="","",IF(【進行】結果入力表!F47="","",【進行】結果入力表!F47))</f>
        <v/>
      </c>
      <c r="AI23" s="315"/>
      <c r="AJ23" s="166" t="str">
        <f t="shared" si="63"/>
        <v/>
      </c>
      <c r="AK23" s="166" t="str">
        <f t="shared" si="64"/>
        <v/>
      </c>
      <c r="AL23" s="165" t="str">
        <f t="shared" si="65"/>
        <v/>
      </c>
      <c r="AM23" s="165" t="str">
        <f t="shared" si="66"/>
        <v/>
      </c>
      <c r="AN23" s="321" t="str">
        <f t="shared" si="67"/>
        <v/>
      </c>
      <c r="AO23" s="322"/>
      <c r="AP23" s="314" t="str">
        <f t="shared" si="68"/>
        <v/>
      </c>
      <c r="AQ23" s="319"/>
      <c r="AR23" s="320" t="str">
        <f>IF(【進行】結果入力表!I70="","",IF(【進行】結果入力表!G64="","",【進行】結果入力表!G64))</f>
        <v/>
      </c>
      <c r="AS23" s="315"/>
      <c r="AT23" s="166" t="str">
        <f t="shared" si="69"/>
        <v/>
      </c>
      <c r="AU23" s="166" t="str">
        <f t="shared" si="70"/>
        <v/>
      </c>
      <c r="AV23" s="165" t="str">
        <f t="shared" si="71"/>
        <v/>
      </c>
      <c r="AW23" s="165" t="str">
        <f t="shared" si="72"/>
        <v/>
      </c>
      <c r="AX23" s="321" t="str">
        <f t="shared" si="73"/>
        <v/>
      </c>
      <c r="AY23" s="322"/>
      <c r="AZ23" s="314" t="str">
        <f t="shared" si="74"/>
        <v/>
      </c>
      <c r="BA23" s="323"/>
      <c r="BB23" s="320" t="str">
        <f>IF(【進行】結果入力表!D78="","",IF(【進行】結果入力表!F72="","",【進行】結果入力表!F72))</f>
        <v/>
      </c>
      <c r="BC23" s="315"/>
      <c r="BD23" s="166" t="str">
        <f t="shared" si="75"/>
        <v/>
      </c>
      <c r="BE23" s="166" t="str">
        <f t="shared" si="76"/>
        <v/>
      </c>
      <c r="BF23" s="165" t="str">
        <f t="shared" si="77"/>
        <v/>
      </c>
      <c r="BG23" s="165" t="str">
        <f t="shared" si="78"/>
        <v/>
      </c>
      <c r="BH23" s="321" t="str">
        <f t="shared" si="79"/>
        <v/>
      </c>
      <c r="BI23" s="322"/>
      <c r="BJ23" s="314" t="str">
        <f t="shared" si="80"/>
        <v/>
      </c>
      <c r="BK23" s="315"/>
      <c r="BL23" s="189" t="str">
        <f t="shared" si="81"/>
        <v/>
      </c>
      <c r="BM23" s="168" t="str">
        <f>IF(【進行】結果入力表!H22="","",【進行】結果入力表!H22)</f>
        <v/>
      </c>
      <c r="BN23" s="169" t="str">
        <f>IF(【進行】結果入力表!E30="","",【進行】結果入力表!E30)</f>
        <v/>
      </c>
      <c r="BO23" s="169" t="str">
        <f>IF(【進行】結果入力表!I46="","",IF(【進行】結果入力表!H39="","",【進行】結果入力表!H39))</f>
        <v/>
      </c>
      <c r="BP23" s="169" t="str">
        <f>IF(【進行】結果入力表!D54="","",IF(【進行】結果入力表!E47="","",【進行】結果入力表!E47))</f>
        <v/>
      </c>
      <c r="BQ23" s="169" t="str">
        <f>IF(【進行】結果入力表!I70="","",IF(【進行】結果入力表!H64="","",【進行】結果入力表!H64))</f>
        <v/>
      </c>
      <c r="BR23" s="170" t="str">
        <f>IF(【進行】結果入力表!D78="","",IF(【進行】結果入力表!E72="","",【進行】結果入力表!E72))</f>
        <v/>
      </c>
      <c r="BS23" s="114"/>
      <c r="BT23" s="125">
        <f t="shared" si="82"/>
        <v>0</v>
      </c>
      <c r="BU23" s="125">
        <f t="shared" si="82"/>
        <v>0</v>
      </c>
      <c r="BV23" s="125">
        <f t="shared" si="83"/>
        <v>0</v>
      </c>
      <c r="BW23" s="125">
        <f t="shared" si="84"/>
        <v>0</v>
      </c>
      <c r="BX23" s="125">
        <f t="shared" si="85"/>
        <v>10</v>
      </c>
      <c r="BY23" s="125" t="str">
        <f t="shared" si="86"/>
        <v/>
      </c>
      <c r="BZ23" s="125" t="str">
        <f t="shared" si="87"/>
        <v>NRC</v>
      </c>
      <c r="CA23" s="125">
        <f t="shared" si="88"/>
        <v>0</v>
      </c>
      <c r="CB23" s="125"/>
      <c r="CC23" s="171" t="str">
        <f>IF(B23="","",COUNTIF(F23:BC23,"w"))</f>
        <v/>
      </c>
      <c r="CD23" s="172" t="str">
        <f>IF(B23="","",COUNT(F23,N23,AH23,X23,AR23,BB23))</f>
        <v/>
      </c>
      <c r="CE23" s="173" t="str">
        <f>IF(CC23="","",CC23*180+SUM(F23,N23,AH23,X23,AR23,BB23)*180/E23)</f>
        <v/>
      </c>
      <c r="CF23" s="174" t="str">
        <f>IF(B23="","",CC23*100000+CE23)</f>
        <v/>
      </c>
      <c r="CG23" s="114"/>
      <c r="CH23" s="114"/>
    </row>
    <row r="24" spans="1:86" ht="17.25" customHeight="1" thickTop="1" thickBot="1" x14ac:dyDescent="0.2">
      <c r="A24" s="354"/>
      <c r="B24" s="316" t="s">
        <v>87</v>
      </c>
      <c r="C24" s="317"/>
      <c r="D24" s="318"/>
      <c r="E24" s="175"/>
      <c r="F24" s="310"/>
      <c r="G24" s="311"/>
      <c r="H24" s="176">
        <f>IF(COUNTBLANK(H16:H23)=8,"",SUM(H16:H23))</f>
        <v>3</v>
      </c>
      <c r="I24" s="176">
        <f>IF(COUNTBLANK(I16:I23)=8,"",SUM(I16:I23))</f>
        <v>4</v>
      </c>
      <c r="J24" s="312">
        <f>IF($B16="","",SUM(J16:J23))</f>
        <v>915</v>
      </c>
      <c r="K24" s="313">
        <f>IF($B16="","",SUM(K16:K23))</f>
        <v>0</v>
      </c>
      <c r="L24" s="308">
        <f>IF(COUNTBLANK(L16:L23)=8,"",SUM(L16:L23))</f>
        <v>931.85714285714289</v>
      </c>
      <c r="M24" s="309">
        <f>IF($B16="","",SUM(M16:M23))</f>
        <v>0</v>
      </c>
      <c r="N24" s="310"/>
      <c r="O24" s="311"/>
      <c r="P24" s="177">
        <f>SUM(P16:P23)</f>
        <v>2</v>
      </c>
      <c r="Q24" s="177">
        <f>SUM(Q16:Q23)</f>
        <v>5</v>
      </c>
      <c r="R24" s="176">
        <f>IF(COUNTBLANK(R16:R23)=8,"",SUM(H24,P24))</f>
        <v>5</v>
      </c>
      <c r="S24" s="176">
        <f>IF(COUNTBLANK(S16:S23)=8,"",SUM(I24,Q24))</f>
        <v>9</v>
      </c>
      <c r="T24" s="312">
        <f>IF($B16="","",SUM(T16:T23))</f>
        <v>1655</v>
      </c>
      <c r="U24" s="313">
        <f>IF($B16="","",SUM(U16:U23))</f>
        <v>0</v>
      </c>
      <c r="V24" s="308">
        <f>IF(COUNTBLANK(V16:V23)=8,"",SUM(V16:V23))</f>
        <v>1711.8571428571429</v>
      </c>
      <c r="W24" s="309">
        <f>IF($B16="","",SUM(W16:W23))</f>
        <v>0</v>
      </c>
      <c r="X24" s="310"/>
      <c r="Y24" s="311"/>
      <c r="Z24" s="177">
        <f>SUM(Z16:Z23)</f>
        <v>2</v>
      </c>
      <c r="AA24" s="177">
        <f>SUM(AA16:AA23)</f>
        <v>5</v>
      </c>
      <c r="AB24" s="176">
        <f>IF(COUNTBLANK(AB16:AB23)=8,"",SUM(R24,Z24))</f>
        <v>7</v>
      </c>
      <c r="AC24" s="176">
        <f>IF(COUNTBLANK(AC16:AC23)=8,"",SUM(S24,AA24))</f>
        <v>14</v>
      </c>
      <c r="AD24" s="312">
        <f>IF($B16="","",SUM(AD16:AD23))</f>
        <v>2280</v>
      </c>
      <c r="AE24" s="313">
        <f>IF($B16="","",SUM(AE16:AE23))</f>
        <v>0</v>
      </c>
      <c r="AF24" s="308">
        <f>IF(COUNTBLANK(AF16:AF23)=8,"",SUM(AF16:AF23))</f>
        <v>2376.8571428571427</v>
      </c>
      <c r="AG24" s="309">
        <f>IF($B16="","",SUM(AG16:AG23))</f>
        <v>0</v>
      </c>
      <c r="AH24" s="310"/>
      <c r="AI24" s="311"/>
      <c r="AJ24" s="177">
        <f>SUM(AJ16:AJ23)</f>
        <v>1</v>
      </c>
      <c r="AK24" s="177">
        <f>SUM(AK16:AK23)</f>
        <v>6</v>
      </c>
      <c r="AL24" s="176">
        <f>IF(COUNTBLANK(AL16:AL23)=8,"",SUM(AB24,AJ24))</f>
        <v>8</v>
      </c>
      <c r="AM24" s="176">
        <f>IF(COUNTBLANK(AM16:AM23)=8,"",SUM(AC24,AK24))</f>
        <v>20</v>
      </c>
      <c r="AN24" s="312">
        <f>IF($B16="","",SUM(AN16:AN23))</f>
        <v>3020</v>
      </c>
      <c r="AO24" s="313">
        <f>IF($B16="","",SUM(AO16:AO23))</f>
        <v>0</v>
      </c>
      <c r="AP24" s="308">
        <f>IF(COUNTBLANK(AP16:AP23)=8,"",SUM(AP16:AP23))</f>
        <v>3123.7142857142858</v>
      </c>
      <c r="AQ24" s="309">
        <f>IF($B16="","",SUM(AQ16:AQ23))</f>
        <v>0</v>
      </c>
      <c r="AR24" s="310"/>
      <c r="AS24" s="311"/>
      <c r="AT24" s="177">
        <f>SUM(AT16:AT23)</f>
        <v>3</v>
      </c>
      <c r="AU24" s="177">
        <f>SUM(AU16:AU23)</f>
        <v>4</v>
      </c>
      <c r="AV24" s="176">
        <f>IF(COUNTBLANK(AV16:AV23)=8,"",SUM(AL24,AT24))</f>
        <v>11</v>
      </c>
      <c r="AW24" s="176">
        <f>IF(COUNTBLANK(AW16:AW23)=8,"",SUM(AM24,AU24))</f>
        <v>24</v>
      </c>
      <c r="AX24" s="312">
        <f>IF($B16="","",SUM(AX16:AX23))</f>
        <v>3760</v>
      </c>
      <c r="AY24" s="313">
        <f>IF($B16="","",SUM(AY16:AY23))</f>
        <v>0</v>
      </c>
      <c r="AZ24" s="308">
        <f>IF(COUNTBLANK(AZ16:AZ23)=8,"",SUM(AZ16:AZ23))</f>
        <v>3903.7142857142858</v>
      </c>
      <c r="BA24" s="309">
        <f>IF($B16="","",SUM(BA16:BA23))</f>
        <v>0</v>
      </c>
      <c r="BB24" s="310"/>
      <c r="BC24" s="311"/>
      <c r="BD24" s="177">
        <f>SUM(BD16:BD23)</f>
        <v>5</v>
      </c>
      <c r="BE24" s="177">
        <f>SUM(BE16:BE23)</f>
        <v>2</v>
      </c>
      <c r="BF24" s="176">
        <f>IF(COUNTBLANK(BF16:BF23)=8,"",SUM(AV24,BD24))</f>
        <v>16</v>
      </c>
      <c r="BG24" s="176">
        <f>IF(COUNTBLANK(BG16:BG23)=8,"",SUM(AW24,BE24))</f>
        <v>26</v>
      </c>
      <c r="BH24" s="312">
        <f>IF(COUNTIF(BH16:BI23,"")=16,"",SUM(BH16:BH23))</f>
        <v>4791</v>
      </c>
      <c r="BI24" s="313">
        <f>IF($B16="","",SUM(BI16:BI23))</f>
        <v>0</v>
      </c>
      <c r="BJ24" s="308">
        <f>IF(COUNTBLANK(BJ16:BJ23)=8,"",SUM(BJ16:BJ23))</f>
        <v>4948.7142857142862</v>
      </c>
      <c r="BK24" s="311">
        <f>IF($B16="","",SUM(BK16:BK23))</f>
        <v>0</v>
      </c>
      <c r="BL24" s="178"/>
      <c r="BM24" s="179"/>
      <c r="BN24" s="180"/>
      <c r="BO24" s="180"/>
      <c r="BP24" s="180"/>
      <c r="BQ24" s="180"/>
      <c r="BR24" s="181"/>
      <c r="BS24" s="114"/>
      <c r="BT24" s="125"/>
      <c r="BU24" s="125"/>
      <c r="BV24" s="125"/>
      <c r="BW24" s="125"/>
      <c r="BX24" s="125"/>
      <c r="BY24" s="125"/>
      <c r="BZ24" s="125" t="str">
        <f t="shared" si="87"/>
        <v>NRC</v>
      </c>
      <c r="CA24" s="125"/>
      <c r="CB24" s="125"/>
      <c r="CC24" s="182">
        <f>SUM(CC16:CC23)</f>
        <v>16</v>
      </c>
      <c r="CD24" s="183">
        <f>SUM(CD16:CD23)</f>
        <v>26</v>
      </c>
      <c r="CE24" s="183">
        <f>SUM(CE16:CE23)</f>
        <v>4948.7142857142862</v>
      </c>
      <c r="CF24" s="184">
        <f>SUM(CF16:CF23)</f>
        <v>1604948.7142857143</v>
      </c>
      <c r="CG24" s="114"/>
      <c r="CH24" s="114"/>
    </row>
    <row r="25" spans="1:86" ht="17.25" customHeight="1" thickBot="1" x14ac:dyDescent="0.2">
      <c r="A25" s="352" t="str">
        <f>IF(【準備】登録!B13="","",【準備】登録!B13)</f>
        <v>SBC</v>
      </c>
      <c r="B25" s="355" t="str">
        <f>B5</f>
        <v>選手名</v>
      </c>
      <c r="C25" s="356"/>
      <c r="D25" s="357"/>
      <c r="E25" s="127" t="str">
        <f>E5</f>
        <v>持点</v>
      </c>
      <c r="F25" s="344" t="str">
        <f>A5</f>
        <v>WRC</v>
      </c>
      <c r="G25" s="345"/>
      <c r="H25" s="128" t="s">
        <v>31</v>
      </c>
      <c r="I25" s="128" t="s">
        <v>73</v>
      </c>
      <c r="J25" s="346" t="s">
        <v>74</v>
      </c>
      <c r="K25" s="347"/>
      <c r="L25" s="348" t="s">
        <v>74</v>
      </c>
      <c r="M25" s="345"/>
      <c r="N25" s="344" t="str">
        <f>A15</f>
        <v>NRC</v>
      </c>
      <c r="O25" s="345"/>
      <c r="P25" s="129" t="s">
        <v>31</v>
      </c>
      <c r="Q25" s="129" t="s">
        <v>73</v>
      </c>
      <c r="R25" s="128" t="s">
        <v>31</v>
      </c>
      <c r="S25" s="128" t="s">
        <v>73</v>
      </c>
      <c r="T25" s="346" t="s">
        <v>74</v>
      </c>
      <c r="U25" s="347"/>
      <c r="V25" s="348" t="s">
        <v>74</v>
      </c>
      <c r="W25" s="345"/>
      <c r="X25" s="344" t="str">
        <f>A5</f>
        <v>WRC</v>
      </c>
      <c r="Y25" s="345"/>
      <c r="Z25" s="129" t="s">
        <v>31</v>
      </c>
      <c r="AA25" s="129" t="s">
        <v>73</v>
      </c>
      <c r="AB25" s="128" t="s">
        <v>31</v>
      </c>
      <c r="AC25" s="128" t="s">
        <v>73</v>
      </c>
      <c r="AD25" s="346" t="s">
        <v>74</v>
      </c>
      <c r="AE25" s="347"/>
      <c r="AF25" s="348" t="s">
        <v>74</v>
      </c>
      <c r="AG25" s="345"/>
      <c r="AH25" s="344" t="str">
        <f>A15</f>
        <v>NRC</v>
      </c>
      <c r="AI25" s="345"/>
      <c r="AJ25" s="129" t="s">
        <v>31</v>
      </c>
      <c r="AK25" s="129" t="s">
        <v>73</v>
      </c>
      <c r="AL25" s="128" t="s">
        <v>31</v>
      </c>
      <c r="AM25" s="128" t="s">
        <v>73</v>
      </c>
      <c r="AN25" s="346" t="s">
        <v>74</v>
      </c>
      <c r="AO25" s="347"/>
      <c r="AP25" s="348" t="s">
        <v>74</v>
      </c>
      <c r="AQ25" s="345"/>
      <c r="AR25" s="344" t="str">
        <f>A5</f>
        <v>WRC</v>
      </c>
      <c r="AS25" s="345"/>
      <c r="AT25" s="129" t="s">
        <v>31</v>
      </c>
      <c r="AU25" s="129" t="s">
        <v>73</v>
      </c>
      <c r="AV25" s="128" t="s">
        <v>31</v>
      </c>
      <c r="AW25" s="128" t="s">
        <v>73</v>
      </c>
      <c r="AX25" s="346" t="s">
        <v>74</v>
      </c>
      <c r="AY25" s="347"/>
      <c r="AZ25" s="348" t="s">
        <v>74</v>
      </c>
      <c r="BA25" s="345"/>
      <c r="BB25" s="344" t="str">
        <f>A15</f>
        <v>NRC</v>
      </c>
      <c r="BC25" s="345"/>
      <c r="BD25" s="129" t="s">
        <v>31</v>
      </c>
      <c r="BE25" s="129" t="s">
        <v>73</v>
      </c>
      <c r="BF25" s="128" t="s">
        <v>31</v>
      </c>
      <c r="BG25" s="128" t="s">
        <v>73</v>
      </c>
      <c r="BH25" s="346" t="s">
        <v>74</v>
      </c>
      <c r="BI25" s="347"/>
      <c r="BJ25" s="348" t="s">
        <v>74</v>
      </c>
      <c r="BK25" s="345"/>
      <c r="BL25" s="185" t="s">
        <v>75</v>
      </c>
      <c r="BM25" s="131" t="str">
        <f t="shared" ref="BM25:BR25" si="93">BM$5</f>
        <v>1G</v>
      </c>
      <c r="BN25" s="132" t="str">
        <f t="shared" si="93"/>
        <v>2G</v>
      </c>
      <c r="BO25" s="132" t="str">
        <f t="shared" si="93"/>
        <v>3G</v>
      </c>
      <c r="BP25" s="132" t="str">
        <f t="shared" si="93"/>
        <v>4G</v>
      </c>
      <c r="BQ25" s="132" t="str">
        <f t="shared" si="93"/>
        <v>5G</v>
      </c>
      <c r="BR25" s="133" t="str">
        <f t="shared" si="93"/>
        <v>6G</v>
      </c>
      <c r="BS25" s="114"/>
      <c r="BT25" s="125"/>
      <c r="BU25" s="125"/>
      <c r="BV25" s="125"/>
      <c r="BW25" s="125"/>
      <c r="BX25" s="125"/>
      <c r="BY25" s="125"/>
      <c r="BZ25" s="125"/>
      <c r="CA25" s="125"/>
      <c r="CB25" s="125"/>
      <c r="CC25" s="136" t="str">
        <f>CC$5</f>
        <v>W</v>
      </c>
      <c r="CD25" s="137" t="str">
        <f>CD$5</f>
        <v>L</v>
      </c>
      <c r="CE25" s="137" t="str">
        <f>CE$5</f>
        <v>TP</v>
      </c>
      <c r="CF25" s="138" t="str">
        <f>CF$5</f>
        <v>R_P</v>
      </c>
      <c r="CG25" s="114"/>
      <c r="CH25" s="114"/>
    </row>
    <row r="26" spans="1:86" ht="15" customHeight="1" thickTop="1" x14ac:dyDescent="0.15">
      <c r="A26" s="353"/>
      <c r="B26" s="349" t="str">
        <f>IF(【準備】登録!$D$11=0,"",【準備】登録!$D$13)</f>
        <v>大橋　義治</v>
      </c>
      <c r="C26" s="350"/>
      <c r="D26" s="351"/>
      <c r="E26" s="140">
        <f>【準備】登録!F13</f>
        <v>180</v>
      </c>
      <c r="F26" s="337" t="str">
        <f>IF(【進行】結果入力表!G7="","",【進行】結果入力表!G7)</f>
        <v>w</v>
      </c>
      <c r="G26" s="338"/>
      <c r="H26" s="141">
        <f t="shared" ref="H26:H33" si="94">IF(F26="","",IF(F26="w",1,0))</f>
        <v>1</v>
      </c>
      <c r="I26" s="141">
        <f t="shared" ref="I26:I33" si="95">IF(F26="","",IF(F26="w",0,1))</f>
        <v>0</v>
      </c>
      <c r="J26" s="339">
        <f t="shared" ref="J26:J33" si="96">IF(F26="","",IF(F26="w",E26,F26))</f>
        <v>180</v>
      </c>
      <c r="K26" s="340"/>
      <c r="L26" s="341">
        <f t="shared" ref="L26:L33" si="97">IF($F26="","",J26/$E26*180)</f>
        <v>180</v>
      </c>
      <c r="M26" s="343"/>
      <c r="N26" s="337" t="str">
        <f>IF(【進行】結果入力表!G23="","",【進行】結果入力表!G23)</f>
        <v>w</v>
      </c>
      <c r="O26" s="338"/>
      <c r="P26" s="142">
        <f t="shared" ref="P26:P33" si="98">IF(N26="","",IF(N26="w",1,0))</f>
        <v>1</v>
      </c>
      <c r="Q26" s="142">
        <f t="shared" ref="Q26:Q33" si="99">IF(N26="","",IF(N26="w",0,1))</f>
        <v>0</v>
      </c>
      <c r="R26" s="141">
        <f t="shared" ref="R26:R33" si="100">IF(N26="","",SUM(H26,P26))</f>
        <v>2</v>
      </c>
      <c r="S26" s="141">
        <f t="shared" ref="S26:S33" si="101">IF(N26="","",SUM(I26,Q26))</f>
        <v>0</v>
      </c>
      <c r="T26" s="339">
        <f t="shared" ref="T26:T33" si="102">IF(N26="","",IF(N26="w",E26+J26,N26+J26))</f>
        <v>360</v>
      </c>
      <c r="U26" s="340"/>
      <c r="V26" s="341">
        <f t="shared" ref="V26:V33" si="103">IF($N26="","",T26/$E26*180)</f>
        <v>360</v>
      </c>
      <c r="W26" s="343"/>
      <c r="X26" s="337" t="str">
        <f>IF(【進行】結果入力表!G31="","",【進行】結果入力表!G31)</f>
        <v>w</v>
      </c>
      <c r="Y26" s="338"/>
      <c r="Z26" s="142">
        <f t="shared" ref="Z26:Z33" si="104">IF(X26="","",IF(X26="w",1,0))</f>
        <v>1</v>
      </c>
      <c r="AA26" s="142">
        <f t="shared" ref="AA26:AA33" si="105">IF(X26="","",IF(X26="w",0,1))</f>
        <v>0</v>
      </c>
      <c r="AB26" s="141">
        <f t="shared" ref="AB26:AB33" si="106">IF(X26="","",SUM(R26,Z26))</f>
        <v>3</v>
      </c>
      <c r="AC26" s="141">
        <f t="shared" ref="AC26:AC33" si="107">IF(X26="","",SUM(S26,AA26))</f>
        <v>0</v>
      </c>
      <c r="AD26" s="339">
        <f t="shared" ref="AD26:AD33" si="108">IF(X26="","",IF(X26="w",T26+E26,X26+T26))</f>
        <v>540</v>
      </c>
      <c r="AE26" s="340"/>
      <c r="AF26" s="341">
        <f t="shared" ref="AF26:AF33" si="109">IF($X26="","",AD26/$E26*180)</f>
        <v>540</v>
      </c>
      <c r="AG26" s="343"/>
      <c r="AH26" s="337" t="str">
        <f>IF(【進行】結果入力表!G47="","",【進行】結果入力表!G47)</f>
        <v>w</v>
      </c>
      <c r="AI26" s="338"/>
      <c r="AJ26" s="142">
        <f t="shared" ref="AJ26:AJ33" si="110">IF(AH26="","",IF(AH26="w",1,0))</f>
        <v>1</v>
      </c>
      <c r="AK26" s="142">
        <f t="shared" ref="AK26:AK33" si="111">IF(AH26="","",IF(AH26="w",0,1))</f>
        <v>0</v>
      </c>
      <c r="AL26" s="141">
        <f t="shared" ref="AL26:AL33" si="112">IF(AH26="","",SUM(AB26,AJ26))</f>
        <v>4</v>
      </c>
      <c r="AM26" s="141">
        <f t="shared" ref="AM26:AM33" si="113">IF(AH26="","",SUM(AC26,AK26))</f>
        <v>0</v>
      </c>
      <c r="AN26" s="339">
        <f t="shared" ref="AN26:AN33" si="114">IF(AH26="","",IF(AH26="w",AD26+E26,AH26+AD26))</f>
        <v>720</v>
      </c>
      <c r="AO26" s="340"/>
      <c r="AP26" s="341">
        <f t="shared" ref="AP26:AP33" si="115">IF($AH26="","",AN26/$E26*180)</f>
        <v>720</v>
      </c>
      <c r="AQ26" s="343"/>
      <c r="AR26" s="337" t="str">
        <f>IF(【進行】結果入力表!G55="","",【進行】結果入力表!G55)</f>
        <v>w</v>
      </c>
      <c r="AS26" s="338"/>
      <c r="AT26" s="142">
        <f t="shared" ref="AT26:AT33" si="116">IF(AR26="","",IF(AR26="w",1,0))</f>
        <v>1</v>
      </c>
      <c r="AU26" s="142">
        <f t="shared" ref="AU26:AU33" si="117">IF(AR26="","",IF(AR26="w",0,1))</f>
        <v>0</v>
      </c>
      <c r="AV26" s="141">
        <f t="shared" ref="AV26:AV33" si="118">IF(AR26="","",IF(AR26="w",AL26+1,AL26))</f>
        <v>5</v>
      </c>
      <c r="AW26" s="141">
        <f t="shared" ref="AW26:AW33" si="119">IF(AR26="","",IF(AR26="w",AM26,AM26+1))</f>
        <v>0</v>
      </c>
      <c r="AX26" s="339">
        <f t="shared" ref="AX26:AX33" si="120">IF(AR26="","",IF(AR26="w",AN26+E26,AR26+AN26))</f>
        <v>900</v>
      </c>
      <c r="AY26" s="340"/>
      <c r="AZ26" s="341">
        <f t="shared" ref="AZ26:AZ33" si="121">IF($AR26="","",AX26/$E26*180)</f>
        <v>900</v>
      </c>
      <c r="BA26" s="342"/>
      <c r="BB26" s="337" t="str">
        <f>IF(【進行】結果入力表!G71="","",【進行】結果入力表!G71)</f>
        <v>w</v>
      </c>
      <c r="BC26" s="338"/>
      <c r="BD26" s="142">
        <f t="shared" ref="BD26:BD33" si="122">IF(BB26="","",IF(BB26="w",1,0))</f>
        <v>1</v>
      </c>
      <c r="BE26" s="142">
        <f t="shared" ref="BE26:BE33" si="123">IF(BB26="","",IF(BB26="w",0,1))</f>
        <v>0</v>
      </c>
      <c r="BF26" s="141">
        <f t="shared" ref="BF26:BF33" si="124">IF(BB26="","",IF(BB26="w",AV26+1,AV26))</f>
        <v>6</v>
      </c>
      <c r="BG26" s="141">
        <f t="shared" ref="BG26:BG33" si="125">IF(BB26="","",IF(BB26="w",AW26,AW26+1))</f>
        <v>0</v>
      </c>
      <c r="BH26" s="339">
        <f t="shared" ref="BH26:BH33" si="126">IF(BB26="","",IF(BB26="w",AX26+E26,BB26+AX26))</f>
        <v>1080</v>
      </c>
      <c r="BI26" s="340"/>
      <c r="BJ26" s="341">
        <f t="shared" ref="BJ26:BJ33" si="127">IF($BB26="","",BH26/$E26*180)</f>
        <v>1080</v>
      </c>
      <c r="BK26" s="338"/>
      <c r="BL26" s="186">
        <f t="shared" ref="BL26:BL33" si="128">IF(SUM(H26:I26,R26:S26)=0,"",IF(B$13="",RANK($CF$26:$CF$32,$CF$26:$CF$32,0),RANK($CF$26:$CF$33,$CF$26:$CF$33,0)))</f>
        <v>1</v>
      </c>
      <c r="BM26" s="144" t="str">
        <f>IF(【進行】結果入力表!H7="","",【進行】結果入力表!H7)</f>
        <v/>
      </c>
      <c r="BN26" s="145" t="str">
        <f>IF(【進行】結果入力表!H23="","",【進行】結果入力表!H23)</f>
        <v/>
      </c>
      <c r="BO26" s="145">
        <f>IF(【進行】結果入力表!H31="","",【進行】結果入力表!H31)</f>
        <v>110</v>
      </c>
      <c r="BP26" s="145" t="str">
        <f>IF(【進行】結果入力表!H47="","",【進行】結果入力表!H47)</f>
        <v/>
      </c>
      <c r="BQ26" s="145" t="str">
        <f>IF(【進行】結果入力表!H55="","",【進行】結果入力表!H55)</f>
        <v/>
      </c>
      <c r="BR26" s="146">
        <f>IF(【進行】結果入力表!H71="","",【進行】結果入力表!H71)</f>
        <v>121</v>
      </c>
      <c r="BS26" s="114"/>
      <c r="BT26" s="125">
        <f t="shared" ref="BT26:BU33" si="129">COUNTIF($BM26:$BR26,BT$5)</f>
        <v>0</v>
      </c>
      <c r="BU26" s="125">
        <f t="shared" si="129"/>
        <v>0</v>
      </c>
      <c r="BV26" s="125">
        <f t="shared" ref="BV26:BV33" si="130">MAX($BM26:$BR26)</f>
        <v>121</v>
      </c>
      <c r="BW26" s="125">
        <f t="shared" ref="BW26:BW33" si="131">BT26*10000+BU26*1000+BV26</f>
        <v>121</v>
      </c>
      <c r="BX26" s="125">
        <f t="shared" ref="BX26:BX33" si="132">RANK(BW26,$BW$6:$BW$33)</f>
        <v>2</v>
      </c>
      <c r="BY26" s="125" t="str">
        <f t="shared" ref="BY26:BY33" si="133">B26</f>
        <v>大橋　義治</v>
      </c>
      <c r="BZ26" s="125" t="str">
        <f t="shared" ref="BZ26:BZ33" si="134">$A$25</f>
        <v>SBC</v>
      </c>
      <c r="CA26" s="125">
        <f t="shared" ref="CA26:CA33" si="135">IF(BT26&gt;0,"A"&amp;E26,IF(BU26&gt;0,"B"&amp;E26,BV26))</f>
        <v>121</v>
      </c>
      <c r="CB26" s="125"/>
      <c r="CC26" s="147">
        <f t="shared" ref="CC26:CC32" si="136">COUNTIF(F26:BC26,"w")</f>
        <v>6</v>
      </c>
      <c r="CD26" s="148">
        <f t="shared" ref="CD26:CD32" si="137">COUNT(F26,N26,AH26,X26,AR26,BB26)</f>
        <v>0</v>
      </c>
      <c r="CE26" s="149">
        <f t="shared" ref="CE26:CE32" si="138">CC26*180+SUM(F26,N26,AH26,X26,AR26,BB26)*180/E26</f>
        <v>1080</v>
      </c>
      <c r="CF26" s="150">
        <f t="shared" ref="CF26:CF32" si="139">CC26*100000+CE26</f>
        <v>601080</v>
      </c>
      <c r="CG26" s="114"/>
      <c r="CH26" s="114"/>
    </row>
    <row r="27" spans="1:86" ht="15" customHeight="1" x14ac:dyDescent="0.15">
      <c r="A27" s="353"/>
      <c r="B27" s="334" t="str">
        <f>IF(【準備】登録!$D$11=0,"",【準備】登録!$G$13)</f>
        <v>林　秀忠</v>
      </c>
      <c r="C27" s="335"/>
      <c r="D27" s="336"/>
      <c r="E27" s="152">
        <f>【準備】登録!I13</f>
        <v>180</v>
      </c>
      <c r="F27" s="326" t="str">
        <f>IF(【進行】結果入力表!G8="","",【進行】結果入力表!G8)</f>
        <v>w</v>
      </c>
      <c r="G27" s="327"/>
      <c r="H27" s="153">
        <f t="shared" si="94"/>
        <v>1</v>
      </c>
      <c r="I27" s="153">
        <f t="shared" si="95"/>
        <v>0</v>
      </c>
      <c r="J27" s="328">
        <f t="shared" si="96"/>
        <v>180</v>
      </c>
      <c r="K27" s="329"/>
      <c r="L27" s="324">
        <f t="shared" si="97"/>
        <v>180</v>
      </c>
      <c r="M27" s="333"/>
      <c r="N27" s="326">
        <f>IF(【進行】結果入力表!G24="","",【進行】結果入力表!G24)</f>
        <v>153</v>
      </c>
      <c r="O27" s="327"/>
      <c r="P27" s="154">
        <f t="shared" si="98"/>
        <v>0</v>
      </c>
      <c r="Q27" s="154">
        <f t="shared" si="99"/>
        <v>1</v>
      </c>
      <c r="R27" s="153">
        <f t="shared" si="100"/>
        <v>1</v>
      </c>
      <c r="S27" s="153">
        <f t="shared" si="101"/>
        <v>1</v>
      </c>
      <c r="T27" s="328">
        <f t="shared" si="102"/>
        <v>333</v>
      </c>
      <c r="U27" s="329"/>
      <c r="V27" s="324">
        <f t="shared" si="103"/>
        <v>333</v>
      </c>
      <c r="W27" s="333"/>
      <c r="X27" s="326">
        <f>IF(【進行】結果入力表!G32="","",【進行】結果入力表!G32)</f>
        <v>103</v>
      </c>
      <c r="Y27" s="327"/>
      <c r="Z27" s="154">
        <f t="shared" si="104"/>
        <v>0</v>
      </c>
      <c r="AA27" s="154">
        <f t="shared" si="105"/>
        <v>1</v>
      </c>
      <c r="AB27" s="153">
        <f t="shared" si="106"/>
        <v>1</v>
      </c>
      <c r="AC27" s="153">
        <f t="shared" si="107"/>
        <v>2</v>
      </c>
      <c r="AD27" s="328">
        <f t="shared" si="108"/>
        <v>436</v>
      </c>
      <c r="AE27" s="329"/>
      <c r="AF27" s="324">
        <f t="shared" si="109"/>
        <v>435.99999999999994</v>
      </c>
      <c r="AG27" s="333"/>
      <c r="AH27" s="326" t="str">
        <f>IF(【進行】結果入力表!G48="","",【進行】結果入力表!G48)</f>
        <v>w</v>
      </c>
      <c r="AI27" s="327"/>
      <c r="AJ27" s="154">
        <f t="shared" si="110"/>
        <v>1</v>
      </c>
      <c r="AK27" s="154">
        <f t="shared" si="111"/>
        <v>0</v>
      </c>
      <c r="AL27" s="153">
        <f t="shared" si="112"/>
        <v>2</v>
      </c>
      <c r="AM27" s="153">
        <f t="shared" si="113"/>
        <v>2</v>
      </c>
      <c r="AN27" s="328">
        <f t="shared" si="114"/>
        <v>616</v>
      </c>
      <c r="AO27" s="329"/>
      <c r="AP27" s="324">
        <f t="shared" si="115"/>
        <v>616</v>
      </c>
      <c r="AQ27" s="333"/>
      <c r="AR27" s="326" t="str">
        <f>IF(【進行】結果入力表!G56="","",【進行】結果入力表!G56)</f>
        <v>w</v>
      </c>
      <c r="AS27" s="327"/>
      <c r="AT27" s="154">
        <f t="shared" si="116"/>
        <v>1</v>
      </c>
      <c r="AU27" s="154">
        <f t="shared" si="117"/>
        <v>0</v>
      </c>
      <c r="AV27" s="153">
        <f t="shared" si="118"/>
        <v>3</v>
      </c>
      <c r="AW27" s="153">
        <f t="shared" si="119"/>
        <v>2</v>
      </c>
      <c r="AX27" s="328">
        <f t="shared" si="120"/>
        <v>796</v>
      </c>
      <c r="AY27" s="329"/>
      <c r="AZ27" s="324">
        <f t="shared" si="121"/>
        <v>796</v>
      </c>
      <c r="BA27" s="325"/>
      <c r="BB27" s="326" t="str">
        <f>IF(【進行】結果入力表!G72="","",【進行】結果入力表!G72)</f>
        <v>w</v>
      </c>
      <c r="BC27" s="327"/>
      <c r="BD27" s="154">
        <f t="shared" si="122"/>
        <v>1</v>
      </c>
      <c r="BE27" s="154">
        <f t="shared" si="123"/>
        <v>0</v>
      </c>
      <c r="BF27" s="153">
        <f t="shared" si="124"/>
        <v>4</v>
      </c>
      <c r="BG27" s="153">
        <f t="shared" si="125"/>
        <v>2</v>
      </c>
      <c r="BH27" s="328">
        <f t="shared" si="126"/>
        <v>976</v>
      </c>
      <c r="BI27" s="329"/>
      <c r="BJ27" s="324">
        <f t="shared" si="127"/>
        <v>976</v>
      </c>
      <c r="BK27" s="327"/>
      <c r="BL27" s="187">
        <f t="shared" si="128"/>
        <v>3</v>
      </c>
      <c r="BM27" s="156" t="str">
        <f>IF(【進行】結果入力表!H8="","",【進行】結果入力表!H8)</f>
        <v/>
      </c>
      <c r="BN27" s="157" t="str">
        <f>IF(【進行】結果入力表!H24="","",【進行】結果入力表!H24)</f>
        <v/>
      </c>
      <c r="BO27" s="157" t="str">
        <f>IF(【進行】結果入力表!H32="","",【進行】結果入力表!H32)</f>
        <v/>
      </c>
      <c r="BP27" s="157" t="str">
        <f>IF(【進行】結果入力表!H48="","",【進行】結果入力表!H48)</f>
        <v/>
      </c>
      <c r="BQ27" s="157" t="str">
        <f>IF(【進行】結果入力表!H56="","",【進行】結果入力表!H56)</f>
        <v/>
      </c>
      <c r="BR27" s="158" t="str">
        <f>IF(【進行】結果入力表!H72="","",【進行】結果入力表!H72)</f>
        <v/>
      </c>
      <c r="BS27" s="114"/>
      <c r="BT27" s="125">
        <f t="shared" si="129"/>
        <v>0</v>
      </c>
      <c r="BU27" s="125">
        <f t="shared" si="129"/>
        <v>0</v>
      </c>
      <c r="BV27" s="125">
        <f t="shared" si="130"/>
        <v>0</v>
      </c>
      <c r="BW27" s="125">
        <f t="shared" si="131"/>
        <v>0</v>
      </c>
      <c r="BX27" s="125">
        <f t="shared" si="132"/>
        <v>10</v>
      </c>
      <c r="BY27" s="125" t="str">
        <f t="shared" si="133"/>
        <v>林　秀忠</v>
      </c>
      <c r="BZ27" s="125" t="str">
        <f t="shared" si="134"/>
        <v>SBC</v>
      </c>
      <c r="CA27" s="125">
        <f t="shared" si="135"/>
        <v>0</v>
      </c>
      <c r="CB27" s="125"/>
      <c r="CC27" s="147">
        <f t="shared" si="136"/>
        <v>4</v>
      </c>
      <c r="CD27" s="148">
        <f t="shared" si="137"/>
        <v>2</v>
      </c>
      <c r="CE27" s="149">
        <f t="shared" si="138"/>
        <v>976</v>
      </c>
      <c r="CF27" s="150">
        <f t="shared" si="139"/>
        <v>400976</v>
      </c>
      <c r="CG27" s="114"/>
      <c r="CH27" s="114"/>
    </row>
    <row r="28" spans="1:86" ht="15" customHeight="1" x14ac:dyDescent="0.15">
      <c r="A28" s="353"/>
      <c r="B28" s="334" t="str">
        <f>IF(【準備】登録!$D$11=0,"",【準備】登録!$J$13)</f>
        <v>西峰　久祐</v>
      </c>
      <c r="C28" s="335"/>
      <c r="D28" s="336"/>
      <c r="E28" s="152">
        <f>【準備】登録!L13</f>
        <v>180</v>
      </c>
      <c r="F28" s="326" t="str">
        <f>IF(【進行】結果入力表!G9="","",【進行】結果入力表!G9)</f>
        <v>w</v>
      </c>
      <c r="G28" s="327"/>
      <c r="H28" s="159">
        <f t="shared" si="94"/>
        <v>1</v>
      </c>
      <c r="I28" s="159">
        <f t="shared" si="95"/>
        <v>0</v>
      </c>
      <c r="J28" s="328">
        <f t="shared" si="96"/>
        <v>180</v>
      </c>
      <c r="K28" s="329"/>
      <c r="L28" s="324">
        <f t="shared" si="97"/>
        <v>180</v>
      </c>
      <c r="M28" s="333"/>
      <c r="N28" s="326" t="str">
        <f>IF(【進行】結果入力表!G25="","",【進行】結果入力表!G25)</f>
        <v>w</v>
      </c>
      <c r="O28" s="327"/>
      <c r="P28" s="160">
        <f t="shared" si="98"/>
        <v>1</v>
      </c>
      <c r="Q28" s="160">
        <f t="shared" si="99"/>
        <v>0</v>
      </c>
      <c r="R28" s="159">
        <f t="shared" si="100"/>
        <v>2</v>
      </c>
      <c r="S28" s="159">
        <f t="shared" si="101"/>
        <v>0</v>
      </c>
      <c r="T28" s="328">
        <f t="shared" si="102"/>
        <v>360</v>
      </c>
      <c r="U28" s="329"/>
      <c r="V28" s="324">
        <f t="shared" si="103"/>
        <v>360</v>
      </c>
      <c r="W28" s="333"/>
      <c r="X28" s="326" t="str">
        <f>IF(【進行】結果入力表!G33="","",【進行】結果入力表!G33)</f>
        <v>w</v>
      </c>
      <c r="Y28" s="327"/>
      <c r="Z28" s="160">
        <f t="shared" si="104"/>
        <v>1</v>
      </c>
      <c r="AA28" s="160">
        <f t="shared" si="105"/>
        <v>0</v>
      </c>
      <c r="AB28" s="159">
        <f t="shared" si="106"/>
        <v>3</v>
      </c>
      <c r="AC28" s="159">
        <f t="shared" si="107"/>
        <v>0</v>
      </c>
      <c r="AD28" s="328">
        <f t="shared" si="108"/>
        <v>540</v>
      </c>
      <c r="AE28" s="329"/>
      <c r="AF28" s="324">
        <f t="shared" si="109"/>
        <v>540</v>
      </c>
      <c r="AG28" s="333"/>
      <c r="AH28" s="326" t="str">
        <f>IF(【進行】結果入力表!G49="","",【進行】結果入力表!G49)</f>
        <v>w</v>
      </c>
      <c r="AI28" s="327"/>
      <c r="AJ28" s="160">
        <f t="shared" si="110"/>
        <v>1</v>
      </c>
      <c r="AK28" s="160">
        <f t="shared" si="111"/>
        <v>0</v>
      </c>
      <c r="AL28" s="159">
        <f t="shared" si="112"/>
        <v>4</v>
      </c>
      <c r="AM28" s="159">
        <f t="shared" si="113"/>
        <v>0</v>
      </c>
      <c r="AN28" s="328">
        <f t="shared" si="114"/>
        <v>720</v>
      </c>
      <c r="AO28" s="329"/>
      <c r="AP28" s="324">
        <f t="shared" si="115"/>
        <v>720</v>
      </c>
      <c r="AQ28" s="333"/>
      <c r="AR28" s="326" t="str">
        <f>IF(【進行】結果入力表!G57="","",【進行】結果入力表!G57)</f>
        <v>w</v>
      </c>
      <c r="AS28" s="327"/>
      <c r="AT28" s="160">
        <f t="shared" si="116"/>
        <v>1</v>
      </c>
      <c r="AU28" s="160">
        <f t="shared" si="117"/>
        <v>0</v>
      </c>
      <c r="AV28" s="159">
        <f t="shared" si="118"/>
        <v>5</v>
      </c>
      <c r="AW28" s="159">
        <f t="shared" si="119"/>
        <v>0</v>
      </c>
      <c r="AX28" s="328">
        <f t="shared" si="120"/>
        <v>900</v>
      </c>
      <c r="AY28" s="329"/>
      <c r="AZ28" s="324">
        <f t="shared" si="121"/>
        <v>900</v>
      </c>
      <c r="BA28" s="325"/>
      <c r="BB28" s="326">
        <f>IF(【進行】結果入力表!G73="","",【進行】結果入力表!G73)</f>
        <v>154</v>
      </c>
      <c r="BC28" s="327"/>
      <c r="BD28" s="160">
        <f t="shared" si="122"/>
        <v>0</v>
      </c>
      <c r="BE28" s="160">
        <f t="shared" si="123"/>
        <v>1</v>
      </c>
      <c r="BF28" s="159">
        <f t="shared" si="124"/>
        <v>5</v>
      </c>
      <c r="BG28" s="159">
        <f t="shared" si="125"/>
        <v>1</v>
      </c>
      <c r="BH28" s="328">
        <f t="shared" si="126"/>
        <v>1054</v>
      </c>
      <c r="BI28" s="329"/>
      <c r="BJ28" s="324">
        <f t="shared" si="127"/>
        <v>1054</v>
      </c>
      <c r="BK28" s="327"/>
      <c r="BL28" s="188">
        <f t="shared" si="128"/>
        <v>2</v>
      </c>
      <c r="BM28" s="156">
        <f>IF(【進行】結果入力表!H9="","",【進行】結果入力表!H9)</f>
        <v>103</v>
      </c>
      <c r="BN28" s="157" t="str">
        <f>IF(【進行】結果入力表!H25="","",【進行】結果入力表!H25)</f>
        <v/>
      </c>
      <c r="BO28" s="157" t="str">
        <f>IF(【進行】結果入力表!H33="","",【進行】結果入力表!H33)</f>
        <v/>
      </c>
      <c r="BP28" s="157" t="str">
        <f>IF(【進行】結果入力表!H49="","",【進行】結果入力表!H49)</f>
        <v/>
      </c>
      <c r="BQ28" s="157" t="str">
        <f>IF(【進行】結果入力表!H57="","",【進行】結果入力表!H57)</f>
        <v/>
      </c>
      <c r="BR28" s="158" t="str">
        <f>IF(【進行】結果入力表!H73="","",【進行】結果入力表!H73)</f>
        <v/>
      </c>
      <c r="BS28" s="114"/>
      <c r="BT28" s="125">
        <f t="shared" si="129"/>
        <v>0</v>
      </c>
      <c r="BU28" s="125">
        <f t="shared" si="129"/>
        <v>0</v>
      </c>
      <c r="BV28" s="125">
        <f t="shared" si="130"/>
        <v>103</v>
      </c>
      <c r="BW28" s="125">
        <f t="shared" si="131"/>
        <v>103</v>
      </c>
      <c r="BX28" s="125">
        <f t="shared" si="132"/>
        <v>8</v>
      </c>
      <c r="BY28" s="125" t="str">
        <f t="shared" si="133"/>
        <v>西峰　久祐</v>
      </c>
      <c r="BZ28" s="125" t="str">
        <f t="shared" si="134"/>
        <v>SBC</v>
      </c>
      <c r="CA28" s="125">
        <f t="shared" si="135"/>
        <v>103</v>
      </c>
      <c r="CB28" s="125"/>
      <c r="CC28" s="147">
        <f t="shared" si="136"/>
        <v>5</v>
      </c>
      <c r="CD28" s="148">
        <f t="shared" si="137"/>
        <v>1</v>
      </c>
      <c r="CE28" s="149">
        <f t="shared" si="138"/>
        <v>1054</v>
      </c>
      <c r="CF28" s="150">
        <f t="shared" si="139"/>
        <v>501054</v>
      </c>
      <c r="CG28" s="114"/>
      <c r="CH28" s="114"/>
    </row>
    <row r="29" spans="1:86" ht="15" customHeight="1" x14ac:dyDescent="0.15">
      <c r="A29" s="353"/>
      <c r="B29" s="334" t="str">
        <f>IF(【準備】登録!$D$11=0,"",【準備】登録!$M$13)</f>
        <v>山中　康裕</v>
      </c>
      <c r="C29" s="335"/>
      <c r="D29" s="336"/>
      <c r="E29" s="152">
        <f>【準備】登録!O13</f>
        <v>180</v>
      </c>
      <c r="F29" s="326" t="str">
        <f>IF(【進行】結果入力表!G10="","",【進行】結果入力表!G10)</f>
        <v>w</v>
      </c>
      <c r="G29" s="327"/>
      <c r="H29" s="159">
        <f t="shared" si="94"/>
        <v>1</v>
      </c>
      <c r="I29" s="159">
        <f t="shared" si="95"/>
        <v>0</v>
      </c>
      <c r="J29" s="328">
        <f t="shared" si="96"/>
        <v>180</v>
      </c>
      <c r="K29" s="329"/>
      <c r="L29" s="324">
        <f t="shared" si="97"/>
        <v>180</v>
      </c>
      <c r="M29" s="333"/>
      <c r="N29" s="326" t="str">
        <f>IF(【進行】結果入力表!G26="","",【進行】結果入力表!G26)</f>
        <v>w</v>
      </c>
      <c r="O29" s="327"/>
      <c r="P29" s="160">
        <f t="shared" si="98"/>
        <v>1</v>
      </c>
      <c r="Q29" s="160">
        <f t="shared" si="99"/>
        <v>0</v>
      </c>
      <c r="R29" s="159">
        <f t="shared" si="100"/>
        <v>2</v>
      </c>
      <c r="S29" s="159">
        <f t="shared" si="101"/>
        <v>0</v>
      </c>
      <c r="T29" s="328">
        <f t="shared" si="102"/>
        <v>360</v>
      </c>
      <c r="U29" s="329"/>
      <c r="V29" s="324">
        <f t="shared" si="103"/>
        <v>360</v>
      </c>
      <c r="W29" s="333"/>
      <c r="X29" s="326" t="str">
        <f>IF(【進行】結果入力表!G34="","",【進行】結果入力表!G34)</f>
        <v>w</v>
      </c>
      <c r="Y29" s="327"/>
      <c r="Z29" s="160">
        <f t="shared" si="104"/>
        <v>1</v>
      </c>
      <c r="AA29" s="160">
        <f t="shared" si="105"/>
        <v>0</v>
      </c>
      <c r="AB29" s="159">
        <f t="shared" si="106"/>
        <v>3</v>
      </c>
      <c r="AC29" s="159">
        <f t="shared" si="107"/>
        <v>0</v>
      </c>
      <c r="AD29" s="328">
        <f t="shared" si="108"/>
        <v>540</v>
      </c>
      <c r="AE29" s="329"/>
      <c r="AF29" s="324">
        <f t="shared" si="109"/>
        <v>540</v>
      </c>
      <c r="AG29" s="333"/>
      <c r="AH29" s="326" t="str">
        <f>IF(【進行】結果入力表!G50="","",【進行】結果入力表!G50)</f>
        <v>w</v>
      </c>
      <c r="AI29" s="327"/>
      <c r="AJ29" s="160">
        <f t="shared" si="110"/>
        <v>1</v>
      </c>
      <c r="AK29" s="160">
        <f t="shared" si="111"/>
        <v>0</v>
      </c>
      <c r="AL29" s="159">
        <f t="shared" si="112"/>
        <v>4</v>
      </c>
      <c r="AM29" s="159">
        <f t="shared" si="113"/>
        <v>0</v>
      </c>
      <c r="AN29" s="328">
        <f t="shared" si="114"/>
        <v>720</v>
      </c>
      <c r="AO29" s="329"/>
      <c r="AP29" s="324">
        <f t="shared" si="115"/>
        <v>720</v>
      </c>
      <c r="AQ29" s="333"/>
      <c r="AR29" s="326">
        <f>IF(【進行】結果入力表!G58="","",【進行】結果入力表!G58)</f>
        <v>28</v>
      </c>
      <c r="AS29" s="327"/>
      <c r="AT29" s="160">
        <f t="shared" si="116"/>
        <v>0</v>
      </c>
      <c r="AU29" s="160">
        <f t="shared" si="117"/>
        <v>1</v>
      </c>
      <c r="AV29" s="159">
        <f t="shared" si="118"/>
        <v>4</v>
      </c>
      <c r="AW29" s="159">
        <f t="shared" si="119"/>
        <v>1</v>
      </c>
      <c r="AX29" s="328">
        <f t="shared" si="120"/>
        <v>748</v>
      </c>
      <c r="AY29" s="329"/>
      <c r="AZ29" s="324">
        <f t="shared" si="121"/>
        <v>748.00000000000011</v>
      </c>
      <c r="BA29" s="325"/>
      <c r="BB29" s="326">
        <f>IF(【進行】結果入力表!G74="","",【進行】結果入力表!G74)</f>
        <v>28</v>
      </c>
      <c r="BC29" s="327"/>
      <c r="BD29" s="160">
        <f t="shared" si="122"/>
        <v>0</v>
      </c>
      <c r="BE29" s="160">
        <f t="shared" si="123"/>
        <v>1</v>
      </c>
      <c r="BF29" s="159">
        <f t="shared" si="124"/>
        <v>4</v>
      </c>
      <c r="BG29" s="159">
        <f t="shared" si="125"/>
        <v>2</v>
      </c>
      <c r="BH29" s="328">
        <f t="shared" si="126"/>
        <v>776</v>
      </c>
      <c r="BI29" s="329"/>
      <c r="BJ29" s="324">
        <f t="shared" si="127"/>
        <v>776</v>
      </c>
      <c r="BK29" s="327"/>
      <c r="BL29" s="187">
        <f t="shared" si="128"/>
        <v>5</v>
      </c>
      <c r="BM29" s="156" t="str">
        <f>IF(【進行】結果入力表!H10="","",【進行】結果入力表!H10)</f>
        <v/>
      </c>
      <c r="BN29" s="157" t="str">
        <f>IF(【進行】結果入力表!H26="","",【進行】結果入力表!H26)</f>
        <v/>
      </c>
      <c r="BO29" s="157">
        <f>IF(【進行】結果入力表!H34="","",【進行】結果入力表!H34)</f>
        <v>105</v>
      </c>
      <c r="BP29" s="157" t="str">
        <f>IF(【進行】結果入力表!H50="","",【進行】結果入力表!H50)</f>
        <v/>
      </c>
      <c r="BQ29" s="157" t="str">
        <f>IF(【進行】結果入力表!H58="","",【進行】結果入力表!H58)</f>
        <v/>
      </c>
      <c r="BR29" s="158" t="str">
        <f>IF(【進行】結果入力表!H74="","",【進行】結果入力表!H74)</f>
        <v/>
      </c>
      <c r="BS29" s="114"/>
      <c r="BT29" s="125">
        <f t="shared" si="129"/>
        <v>0</v>
      </c>
      <c r="BU29" s="125">
        <f t="shared" si="129"/>
        <v>0</v>
      </c>
      <c r="BV29" s="125">
        <f t="shared" si="130"/>
        <v>105</v>
      </c>
      <c r="BW29" s="125">
        <f t="shared" si="131"/>
        <v>105</v>
      </c>
      <c r="BX29" s="125">
        <f t="shared" si="132"/>
        <v>6</v>
      </c>
      <c r="BY29" s="125" t="str">
        <f t="shared" si="133"/>
        <v>山中　康裕</v>
      </c>
      <c r="BZ29" s="125" t="str">
        <f t="shared" si="134"/>
        <v>SBC</v>
      </c>
      <c r="CA29" s="125">
        <f t="shared" si="135"/>
        <v>105</v>
      </c>
      <c r="CB29" s="125"/>
      <c r="CC29" s="147">
        <f t="shared" si="136"/>
        <v>4</v>
      </c>
      <c r="CD29" s="148">
        <f t="shared" si="137"/>
        <v>2</v>
      </c>
      <c r="CE29" s="149">
        <f t="shared" si="138"/>
        <v>776</v>
      </c>
      <c r="CF29" s="150">
        <f t="shared" si="139"/>
        <v>400776</v>
      </c>
      <c r="CG29" s="114"/>
      <c r="CH29" s="114"/>
    </row>
    <row r="30" spans="1:86" ht="15" customHeight="1" x14ac:dyDescent="0.15">
      <c r="A30" s="353"/>
      <c r="B30" s="334" t="str">
        <f>IF(【準備】登録!$D$11=0,"",【準備】登録!$P$13)</f>
        <v>柳川　哲也</v>
      </c>
      <c r="C30" s="335"/>
      <c r="D30" s="336"/>
      <c r="E30" s="152">
        <f>【準備】登録!R13</f>
        <v>180</v>
      </c>
      <c r="F30" s="326" t="str">
        <f>IF(【進行】結果入力表!G11="","",【進行】結果入力表!G11)</f>
        <v>w</v>
      </c>
      <c r="G30" s="327"/>
      <c r="H30" s="159">
        <f t="shared" si="94"/>
        <v>1</v>
      </c>
      <c r="I30" s="159">
        <f t="shared" si="95"/>
        <v>0</v>
      </c>
      <c r="J30" s="328">
        <f t="shared" si="96"/>
        <v>180</v>
      </c>
      <c r="K30" s="329"/>
      <c r="L30" s="324">
        <f t="shared" si="97"/>
        <v>180</v>
      </c>
      <c r="M30" s="333"/>
      <c r="N30" s="326" t="str">
        <f>IF(【進行】結果入力表!G27="","",【進行】結果入力表!G27)</f>
        <v>w</v>
      </c>
      <c r="O30" s="327"/>
      <c r="P30" s="160">
        <f t="shared" si="98"/>
        <v>1</v>
      </c>
      <c r="Q30" s="160">
        <f t="shared" si="99"/>
        <v>0</v>
      </c>
      <c r="R30" s="159">
        <f t="shared" si="100"/>
        <v>2</v>
      </c>
      <c r="S30" s="159">
        <f t="shared" si="101"/>
        <v>0</v>
      </c>
      <c r="T30" s="328">
        <f t="shared" si="102"/>
        <v>360</v>
      </c>
      <c r="U30" s="329"/>
      <c r="V30" s="324">
        <f t="shared" si="103"/>
        <v>360</v>
      </c>
      <c r="W30" s="333"/>
      <c r="X30" s="326">
        <f>IF(【進行】結果入力表!G35="","",【進行】結果入力表!G35)</f>
        <v>47</v>
      </c>
      <c r="Y30" s="327"/>
      <c r="Z30" s="160">
        <f t="shared" si="104"/>
        <v>0</v>
      </c>
      <c r="AA30" s="160">
        <f t="shared" si="105"/>
        <v>1</v>
      </c>
      <c r="AB30" s="159">
        <f t="shared" si="106"/>
        <v>2</v>
      </c>
      <c r="AC30" s="159">
        <f t="shared" si="107"/>
        <v>1</v>
      </c>
      <c r="AD30" s="328">
        <f t="shared" si="108"/>
        <v>407</v>
      </c>
      <c r="AE30" s="329"/>
      <c r="AF30" s="324">
        <f t="shared" si="109"/>
        <v>407</v>
      </c>
      <c r="AG30" s="333"/>
      <c r="AH30" s="326">
        <f>IF(【進行】結果入力表!G51="","",【進行】結果入力表!G51)</f>
        <v>103</v>
      </c>
      <c r="AI30" s="327"/>
      <c r="AJ30" s="160">
        <f t="shared" si="110"/>
        <v>0</v>
      </c>
      <c r="AK30" s="160">
        <f t="shared" si="111"/>
        <v>1</v>
      </c>
      <c r="AL30" s="159">
        <f t="shared" si="112"/>
        <v>2</v>
      </c>
      <c r="AM30" s="159">
        <f t="shared" si="113"/>
        <v>2</v>
      </c>
      <c r="AN30" s="328">
        <f t="shared" si="114"/>
        <v>510</v>
      </c>
      <c r="AO30" s="329"/>
      <c r="AP30" s="324">
        <f t="shared" si="115"/>
        <v>510</v>
      </c>
      <c r="AQ30" s="333"/>
      <c r="AR30" s="326">
        <f>IF(【進行】結果入力表!G59="","",【進行】結果入力表!G59)</f>
        <v>47</v>
      </c>
      <c r="AS30" s="327"/>
      <c r="AT30" s="160">
        <f t="shared" si="116"/>
        <v>0</v>
      </c>
      <c r="AU30" s="160">
        <f t="shared" si="117"/>
        <v>1</v>
      </c>
      <c r="AV30" s="159">
        <f t="shared" si="118"/>
        <v>2</v>
      </c>
      <c r="AW30" s="159">
        <f t="shared" si="119"/>
        <v>3</v>
      </c>
      <c r="AX30" s="328">
        <f t="shared" si="120"/>
        <v>557</v>
      </c>
      <c r="AY30" s="329"/>
      <c r="AZ30" s="324">
        <f t="shared" si="121"/>
        <v>557</v>
      </c>
      <c r="BA30" s="325"/>
      <c r="BB30" s="326">
        <f>IF(【進行】結果入力表!G75="","",【進行】結果入力表!G75)</f>
        <v>128</v>
      </c>
      <c r="BC30" s="327"/>
      <c r="BD30" s="160">
        <f t="shared" si="122"/>
        <v>0</v>
      </c>
      <c r="BE30" s="160">
        <f t="shared" si="123"/>
        <v>1</v>
      </c>
      <c r="BF30" s="159">
        <f t="shared" si="124"/>
        <v>2</v>
      </c>
      <c r="BG30" s="159">
        <f t="shared" si="125"/>
        <v>4</v>
      </c>
      <c r="BH30" s="328">
        <f t="shared" si="126"/>
        <v>685</v>
      </c>
      <c r="BI30" s="329"/>
      <c r="BJ30" s="324">
        <f t="shared" si="127"/>
        <v>685</v>
      </c>
      <c r="BK30" s="327"/>
      <c r="BL30" s="188">
        <f t="shared" si="128"/>
        <v>6</v>
      </c>
      <c r="BM30" s="156">
        <f>IF(【進行】結果入力表!H11="","",【進行】結果入力表!H11)</f>
        <v>105</v>
      </c>
      <c r="BN30" s="157" t="str">
        <f>IF(【進行】結果入力表!H27="","",【進行】結果入力表!H27)</f>
        <v/>
      </c>
      <c r="BO30" s="157" t="str">
        <f>IF(【進行】結果入力表!H35="","",【進行】結果入力表!H35)</f>
        <v/>
      </c>
      <c r="BP30" s="157" t="str">
        <f>IF(【進行】結果入力表!H51="","",【進行】結果入力表!H51)</f>
        <v/>
      </c>
      <c r="BQ30" s="157" t="str">
        <f>IF(【進行】結果入力表!H59="","",【進行】結果入力表!H59)</f>
        <v/>
      </c>
      <c r="BR30" s="158" t="str">
        <f>IF(【進行】結果入力表!H75="","",【進行】結果入力表!H75)</f>
        <v/>
      </c>
      <c r="BS30" s="114"/>
      <c r="BT30" s="125">
        <f t="shared" si="129"/>
        <v>0</v>
      </c>
      <c r="BU30" s="125">
        <f t="shared" si="129"/>
        <v>0</v>
      </c>
      <c r="BV30" s="125">
        <f t="shared" si="130"/>
        <v>105</v>
      </c>
      <c r="BW30" s="125">
        <f t="shared" si="131"/>
        <v>105</v>
      </c>
      <c r="BX30" s="125">
        <f t="shared" si="132"/>
        <v>6</v>
      </c>
      <c r="BY30" s="125" t="str">
        <f t="shared" si="133"/>
        <v>柳川　哲也</v>
      </c>
      <c r="BZ30" s="125" t="str">
        <f t="shared" si="134"/>
        <v>SBC</v>
      </c>
      <c r="CA30" s="125">
        <f t="shared" si="135"/>
        <v>105</v>
      </c>
      <c r="CB30" s="125"/>
      <c r="CC30" s="147">
        <f t="shared" si="136"/>
        <v>2</v>
      </c>
      <c r="CD30" s="148">
        <f t="shared" si="137"/>
        <v>4</v>
      </c>
      <c r="CE30" s="149">
        <f t="shared" si="138"/>
        <v>685</v>
      </c>
      <c r="CF30" s="150">
        <f t="shared" si="139"/>
        <v>200685</v>
      </c>
      <c r="CG30" s="114"/>
      <c r="CH30" s="114"/>
    </row>
    <row r="31" spans="1:86" ht="15" customHeight="1" x14ac:dyDescent="0.15">
      <c r="A31" s="353"/>
      <c r="B31" s="334" t="str">
        <f>IF(【準備】登録!$D$11=0,"",【準備】登録!$S$13)</f>
        <v>大橋　正寛</v>
      </c>
      <c r="C31" s="335"/>
      <c r="D31" s="336"/>
      <c r="E31" s="152">
        <f>【準備】登録!U13</f>
        <v>180</v>
      </c>
      <c r="F31" s="326" t="str">
        <f>IF(【進行】結果入力表!G12="","",【進行】結果入力表!G12)</f>
        <v>w</v>
      </c>
      <c r="G31" s="327"/>
      <c r="H31" s="159">
        <f t="shared" si="94"/>
        <v>1</v>
      </c>
      <c r="I31" s="159">
        <f t="shared" si="95"/>
        <v>0</v>
      </c>
      <c r="J31" s="328">
        <f t="shared" si="96"/>
        <v>180</v>
      </c>
      <c r="K31" s="329"/>
      <c r="L31" s="324">
        <f t="shared" si="97"/>
        <v>180</v>
      </c>
      <c r="M31" s="333"/>
      <c r="N31" s="326" t="str">
        <f>IF(【進行】結果入力表!G28="","",【進行】結果入力表!G28)</f>
        <v>w</v>
      </c>
      <c r="O31" s="327"/>
      <c r="P31" s="160">
        <f t="shared" si="98"/>
        <v>1</v>
      </c>
      <c r="Q31" s="160">
        <f t="shared" si="99"/>
        <v>0</v>
      </c>
      <c r="R31" s="159">
        <f t="shared" si="100"/>
        <v>2</v>
      </c>
      <c r="S31" s="159">
        <f t="shared" si="101"/>
        <v>0</v>
      </c>
      <c r="T31" s="328">
        <f t="shared" si="102"/>
        <v>360</v>
      </c>
      <c r="U31" s="329"/>
      <c r="V31" s="324">
        <f t="shared" si="103"/>
        <v>360</v>
      </c>
      <c r="W31" s="333"/>
      <c r="X31" s="326" t="str">
        <f>IF(【進行】結果入力表!G36="","",【進行】結果入力表!G36)</f>
        <v>w</v>
      </c>
      <c r="Y31" s="327"/>
      <c r="Z31" s="160">
        <f t="shared" si="104"/>
        <v>1</v>
      </c>
      <c r="AA31" s="160">
        <f t="shared" si="105"/>
        <v>0</v>
      </c>
      <c r="AB31" s="159">
        <f t="shared" si="106"/>
        <v>3</v>
      </c>
      <c r="AC31" s="159">
        <f t="shared" si="107"/>
        <v>0</v>
      </c>
      <c r="AD31" s="328">
        <f t="shared" si="108"/>
        <v>540</v>
      </c>
      <c r="AE31" s="329"/>
      <c r="AF31" s="324">
        <f t="shared" si="109"/>
        <v>540</v>
      </c>
      <c r="AG31" s="333"/>
      <c r="AH31" s="326" t="str">
        <f>IF(【進行】結果入力表!G52="","",【進行】結果入力表!G52)</f>
        <v>w</v>
      </c>
      <c r="AI31" s="327"/>
      <c r="AJ31" s="160">
        <f t="shared" si="110"/>
        <v>1</v>
      </c>
      <c r="AK31" s="160">
        <f t="shared" si="111"/>
        <v>0</v>
      </c>
      <c r="AL31" s="159">
        <f t="shared" si="112"/>
        <v>4</v>
      </c>
      <c r="AM31" s="159">
        <f t="shared" si="113"/>
        <v>0</v>
      </c>
      <c r="AN31" s="328">
        <f t="shared" si="114"/>
        <v>720</v>
      </c>
      <c r="AO31" s="329"/>
      <c r="AP31" s="324">
        <f t="shared" si="115"/>
        <v>720</v>
      </c>
      <c r="AQ31" s="333"/>
      <c r="AR31" s="326">
        <f>IF(【進行】結果入力表!G60="","",【進行】結果入力表!G60)</f>
        <v>41</v>
      </c>
      <c r="AS31" s="327"/>
      <c r="AT31" s="160">
        <f t="shared" si="116"/>
        <v>0</v>
      </c>
      <c r="AU31" s="160">
        <f t="shared" si="117"/>
        <v>1</v>
      </c>
      <c r="AV31" s="159">
        <f t="shared" si="118"/>
        <v>4</v>
      </c>
      <c r="AW31" s="159">
        <f t="shared" si="119"/>
        <v>1</v>
      </c>
      <c r="AX31" s="328">
        <f t="shared" si="120"/>
        <v>761</v>
      </c>
      <c r="AY31" s="329"/>
      <c r="AZ31" s="324">
        <f t="shared" si="121"/>
        <v>761</v>
      </c>
      <c r="BA31" s="325"/>
      <c r="BB31" s="326">
        <f>IF(【進行】結果入力表!G76="","",【進行】結果入力表!G76)</f>
        <v>125</v>
      </c>
      <c r="BC31" s="327"/>
      <c r="BD31" s="160">
        <f t="shared" si="122"/>
        <v>0</v>
      </c>
      <c r="BE31" s="160">
        <f t="shared" si="123"/>
        <v>1</v>
      </c>
      <c r="BF31" s="159">
        <f t="shared" si="124"/>
        <v>4</v>
      </c>
      <c r="BG31" s="159">
        <f t="shared" si="125"/>
        <v>2</v>
      </c>
      <c r="BH31" s="328">
        <f t="shared" si="126"/>
        <v>886</v>
      </c>
      <c r="BI31" s="329"/>
      <c r="BJ31" s="324">
        <f t="shared" si="127"/>
        <v>886</v>
      </c>
      <c r="BK31" s="327"/>
      <c r="BL31" s="187">
        <f t="shared" si="128"/>
        <v>4</v>
      </c>
      <c r="BM31" s="156" t="str">
        <f>IF(【進行】結果入力表!H12="","",【進行】結果入力表!H12)</f>
        <v/>
      </c>
      <c r="BN31" s="157">
        <f>IF(【進行】結果入力表!H28="","",【進行】結果入力表!H28)</f>
        <v>120</v>
      </c>
      <c r="BO31" s="157" t="str">
        <f>IF(【進行】結果入力表!H36="","",【進行】結果入力表!H36)</f>
        <v/>
      </c>
      <c r="BP31" s="157" t="str">
        <f>IF(【進行】結果入力表!H52="","",【進行】結果入力表!H52)</f>
        <v/>
      </c>
      <c r="BQ31" s="157" t="str">
        <f>IF(【進行】結果入力表!H60="","",【進行】結果入力表!H60)</f>
        <v/>
      </c>
      <c r="BR31" s="158">
        <f>IF(【進行】結果入力表!H76="","",【進行】結果入力表!H76)</f>
        <v>106</v>
      </c>
      <c r="BS31" s="114"/>
      <c r="BT31" s="125">
        <f t="shared" si="129"/>
        <v>0</v>
      </c>
      <c r="BU31" s="125">
        <f t="shared" si="129"/>
        <v>0</v>
      </c>
      <c r="BV31" s="125">
        <f t="shared" si="130"/>
        <v>120</v>
      </c>
      <c r="BW31" s="125">
        <f t="shared" si="131"/>
        <v>120</v>
      </c>
      <c r="BX31" s="125">
        <f t="shared" si="132"/>
        <v>3</v>
      </c>
      <c r="BY31" s="125" t="str">
        <f t="shared" si="133"/>
        <v>大橋　正寛</v>
      </c>
      <c r="BZ31" s="125" t="str">
        <f t="shared" si="134"/>
        <v>SBC</v>
      </c>
      <c r="CA31" s="125">
        <f t="shared" si="135"/>
        <v>120</v>
      </c>
      <c r="CB31" s="125"/>
      <c r="CC31" s="147">
        <f t="shared" si="136"/>
        <v>4</v>
      </c>
      <c r="CD31" s="148">
        <f t="shared" si="137"/>
        <v>2</v>
      </c>
      <c r="CE31" s="149">
        <f t="shared" si="138"/>
        <v>886</v>
      </c>
      <c r="CF31" s="150">
        <f t="shared" si="139"/>
        <v>400886</v>
      </c>
      <c r="CG31" s="114"/>
      <c r="CH31" s="114"/>
    </row>
    <row r="32" spans="1:86" ht="15" customHeight="1" x14ac:dyDescent="0.15">
      <c r="A32" s="353"/>
      <c r="B32" s="334" t="str">
        <f>IF(【準備】登録!$D$11=0,"",【準備】登録!$V$13)</f>
        <v>大橋　洋子</v>
      </c>
      <c r="C32" s="335"/>
      <c r="D32" s="336"/>
      <c r="E32" s="152">
        <f>【準備】登録!X13</f>
        <v>140</v>
      </c>
      <c r="F32" s="326">
        <f>IF(【進行】結果入力表!G13="","",【進行】結果入力表!G13)</f>
        <v>69</v>
      </c>
      <c r="G32" s="327"/>
      <c r="H32" s="159">
        <f t="shared" si="94"/>
        <v>0</v>
      </c>
      <c r="I32" s="159">
        <f t="shared" si="95"/>
        <v>1</v>
      </c>
      <c r="J32" s="328">
        <f t="shared" si="96"/>
        <v>69</v>
      </c>
      <c r="K32" s="329"/>
      <c r="L32" s="324">
        <f t="shared" si="97"/>
        <v>88.714285714285722</v>
      </c>
      <c r="M32" s="333"/>
      <c r="N32" s="326">
        <f>IF(【進行】結果入力表!G29="","",【進行】結果入力表!G29)</f>
        <v>59</v>
      </c>
      <c r="O32" s="327"/>
      <c r="P32" s="160">
        <f t="shared" si="98"/>
        <v>0</v>
      </c>
      <c r="Q32" s="160">
        <f t="shared" si="99"/>
        <v>1</v>
      </c>
      <c r="R32" s="159">
        <f t="shared" si="100"/>
        <v>0</v>
      </c>
      <c r="S32" s="159">
        <f t="shared" si="101"/>
        <v>2</v>
      </c>
      <c r="T32" s="328">
        <f t="shared" si="102"/>
        <v>128</v>
      </c>
      <c r="U32" s="329"/>
      <c r="V32" s="324">
        <f t="shared" si="103"/>
        <v>164.57142857142856</v>
      </c>
      <c r="W32" s="333"/>
      <c r="X32" s="326">
        <f>IF(【進行】結果入力表!G37="","",【進行】結果入力表!G37)</f>
        <v>23</v>
      </c>
      <c r="Y32" s="327"/>
      <c r="Z32" s="160">
        <f t="shared" si="104"/>
        <v>0</v>
      </c>
      <c r="AA32" s="160">
        <f t="shared" si="105"/>
        <v>1</v>
      </c>
      <c r="AB32" s="159">
        <f t="shared" si="106"/>
        <v>0</v>
      </c>
      <c r="AC32" s="159">
        <f t="shared" si="107"/>
        <v>3</v>
      </c>
      <c r="AD32" s="328">
        <f t="shared" si="108"/>
        <v>151</v>
      </c>
      <c r="AE32" s="329"/>
      <c r="AF32" s="324">
        <f t="shared" si="109"/>
        <v>194.14285714285714</v>
      </c>
      <c r="AG32" s="333"/>
      <c r="AH32" s="326" t="str">
        <f>IF(【進行】結果入力表!G53="","",【進行】結果入力表!G53)</f>
        <v>w</v>
      </c>
      <c r="AI32" s="327"/>
      <c r="AJ32" s="160">
        <f t="shared" si="110"/>
        <v>1</v>
      </c>
      <c r="AK32" s="160">
        <f t="shared" si="111"/>
        <v>0</v>
      </c>
      <c r="AL32" s="159">
        <f t="shared" si="112"/>
        <v>1</v>
      </c>
      <c r="AM32" s="159">
        <f t="shared" si="113"/>
        <v>3</v>
      </c>
      <c r="AN32" s="328">
        <f t="shared" si="114"/>
        <v>291</v>
      </c>
      <c r="AO32" s="329"/>
      <c r="AP32" s="324">
        <f t="shared" si="115"/>
        <v>374.14285714285717</v>
      </c>
      <c r="AQ32" s="333"/>
      <c r="AR32" s="326">
        <f>IF(【進行】結果入力表!G61="","",【進行】結果入力表!G61)</f>
        <v>98</v>
      </c>
      <c r="AS32" s="327"/>
      <c r="AT32" s="160">
        <f t="shared" si="116"/>
        <v>0</v>
      </c>
      <c r="AU32" s="160">
        <f t="shared" si="117"/>
        <v>1</v>
      </c>
      <c r="AV32" s="159">
        <f t="shared" si="118"/>
        <v>1</v>
      </c>
      <c r="AW32" s="159">
        <f t="shared" si="119"/>
        <v>4</v>
      </c>
      <c r="AX32" s="328">
        <f t="shared" si="120"/>
        <v>389</v>
      </c>
      <c r="AY32" s="329"/>
      <c r="AZ32" s="324">
        <f t="shared" si="121"/>
        <v>500.14285714285711</v>
      </c>
      <c r="BA32" s="325"/>
      <c r="BB32" s="326">
        <f>IF(【進行】結果入力表!G77="","",【進行】結果入力表!G77)</f>
        <v>100</v>
      </c>
      <c r="BC32" s="327"/>
      <c r="BD32" s="160">
        <f t="shared" si="122"/>
        <v>0</v>
      </c>
      <c r="BE32" s="160">
        <f t="shared" si="123"/>
        <v>1</v>
      </c>
      <c r="BF32" s="159">
        <f t="shared" si="124"/>
        <v>1</v>
      </c>
      <c r="BG32" s="159">
        <f t="shared" si="125"/>
        <v>5</v>
      </c>
      <c r="BH32" s="328">
        <f t="shared" si="126"/>
        <v>489</v>
      </c>
      <c r="BI32" s="329"/>
      <c r="BJ32" s="324">
        <f t="shared" si="127"/>
        <v>628.71428571428567</v>
      </c>
      <c r="BK32" s="327"/>
      <c r="BL32" s="188">
        <f t="shared" si="128"/>
        <v>7</v>
      </c>
      <c r="BM32" s="156" t="str">
        <f>IF(【進行】結果入力表!H13="","",【進行】結果入力表!H13)</f>
        <v/>
      </c>
      <c r="BN32" s="157" t="str">
        <f>IF(【進行】結果入力表!H29="","",【進行】結果入力表!H29)</f>
        <v/>
      </c>
      <c r="BO32" s="157" t="str">
        <f>IF(【進行】結果入力表!H37="","",【進行】結果入力表!H37)</f>
        <v/>
      </c>
      <c r="BP32" s="157" t="str">
        <f>IF(【進行】結果入力表!H53="","",【進行】結果入力表!H53)</f>
        <v/>
      </c>
      <c r="BQ32" s="157" t="str">
        <f>IF(【進行】結果入力表!H61="","",【進行】結果入力表!H61)</f>
        <v/>
      </c>
      <c r="BR32" s="158" t="str">
        <f>IF(【進行】結果入力表!H77="","",【進行】結果入力表!H77)</f>
        <v/>
      </c>
      <c r="BS32" s="114"/>
      <c r="BT32" s="125">
        <f t="shared" si="129"/>
        <v>0</v>
      </c>
      <c r="BU32" s="125">
        <f t="shared" si="129"/>
        <v>0</v>
      </c>
      <c r="BV32" s="125">
        <f t="shared" si="130"/>
        <v>0</v>
      </c>
      <c r="BW32" s="125">
        <f t="shared" si="131"/>
        <v>0</v>
      </c>
      <c r="BX32" s="125">
        <f t="shared" si="132"/>
        <v>10</v>
      </c>
      <c r="BY32" s="125" t="str">
        <f t="shared" si="133"/>
        <v>大橋　洋子</v>
      </c>
      <c r="BZ32" s="125" t="str">
        <f t="shared" si="134"/>
        <v>SBC</v>
      </c>
      <c r="CA32" s="125">
        <f t="shared" si="135"/>
        <v>0</v>
      </c>
      <c r="CB32" s="125"/>
      <c r="CC32" s="147">
        <f t="shared" si="136"/>
        <v>1</v>
      </c>
      <c r="CD32" s="148">
        <f t="shared" si="137"/>
        <v>5</v>
      </c>
      <c r="CE32" s="149">
        <f t="shared" si="138"/>
        <v>628.71428571428578</v>
      </c>
      <c r="CF32" s="150">
        <f t="shared" si="139"/>
        <v>100628.71428571429</v>
      </c>
      <c r="CG32" s="114"/>
      <c r="CH32" s="114"/>
    </row>
    <row r="33" spans="1:86" ht="15" customHeight="1" thickBot="1" x14ac:dyDescent="0.2">
      <c r="A33" s="353"/>
      <c r="B33" s="330" t="str">
        <f>IF(【準備】登録!$Y$13=0,"",【準備】登録!$Y$13)</f>
        <v/>
      </c>
      <c r="C33" s="331"/>
      <c r="D33" s="332"/>
      <c r="E33" s="164" t="str">
        <f>IF(【準備】登録!$Y$13="","",【準備】登録!AA13)</f>
        <v/>
      </c>
      <c r="F33" s="320" t="str">
        <f>IF(【進行】結果入力表!G14="","",【進行】結果入力表!G14)</f>
        <v/>
      </c>
      <c r="G33" s="315"/>
      <c r="H33" s="165" t="str">
        <f t="shared" si="94"/>
        <v/>
      </c>
      <c r="I33" s="165" t="str">
        <f t="shared" si="95"/>
        <v/>
      </c>
      <c r="J33" s="321" t="str">
        <f t="shared" si="96"/>
        <v/>
      </c>
      <c r="K33" s="322"/>
      <c r="L33" s="314" t="str">
        <f t="shared" si="97"/>
        <v/>
      </c>
      <c r="M33" s="319"/>
      <c r="N33" s="320" t="str">
        <f>IF(【進行】結果入力表!G30="","",【進行】結果入力表!G30)</f>
        <v/>
      </c>
      <c r="O33" s="315"/>
      <c r="P33" s="166" t="str">
        <f t="shared" si="98"/>
        <v/>
      </c>
      <c r="Q33" s="166" t="str">
        <f t="shared" si="99"/>
        <v/>
      </c>
      <c r="R33" s="165" t="str">
        <f t="shared" si="100"/>
        <v/>
      </c>
      <c r="S33" s="165" t="str">
        <f t="shared" si="101"/>
        <v/>
      </c>
      <c r="T33" s="321" t="str">
        <f t="shared" si="102"/>
        <v/>
      </c>
      <c r="U33" s="322"/>
      <c r="V33" s="314" t="str">
        <f t="shared" si="103"/>
        <v/>
      </c>
      <c r="W33" s="319"/>
      <c r="X33" s="320" t="str">
        <f>IF(【進行】結果入力表!G38="","",【進行】結果入力表!G38)</f>
        <v/>
      </c>
      <c r="Y33" s="315"/>
      <c r="Z33" s="166" t="str">
        <f t="shared" si="104"/>
        <v/>
      </c>
      <c r="AA33" s="166" t="str">
        <f t="shared" si="105"/>
        <v/>
      </c>
      <c r="AB33" s="165" t="str">
        <f t="shared" si="106"/>
        <v/>
      </c>
      <c r="AC33" s="165" t="str">
        <f t="shared" si="107"/>
        <v/>
      </c>
      <c r="AD33" s="321" t="str">
        <f t="shared" si="108"/>
        <v/>
      </c>
      <c r="AE33" s="322"/>
      <c r="AF33" s="314" t="str">
        <f t="shared" si="109"/>
        <v/>
      </c>
      <c r="AG33" s="319"/>
      <c r="AH33" s="320" t="str">
        <f>IF(【進行】結果入力表!G54="","",【進行】結果入力表!G54)</f>
        <v/>
      </c>
      <c r="AI33" s="315"/>
      <c r="AJ33" s="166" t="str">
        <f t="shared" si="110"/>
        <v/>
      </c>
      <c r="AK33" s="166" t="str">
        <f t="shared" si="111"/>
        <v/>
      </c>
      <c r="AL33" s="165" t="str">
        <f t="shared" si="112"/>
        <v/>
      </c>
      <c r="AM33" s="165" t="str">
        <f t="shared" si="113"/>
        <v/>
      </c>
      <c r="AN33" s="321" t="str">
        <f t="shared" si="114"/>
        <v/>
      </c>
      <c r="AO33" s="322"/>
      <c r="AP33" s="314" t="str">
        <f t="shared" si="115"/>
        <v/>
      </c>
      <c r="AQ33" s="319"/>
      <c r="AR33" s="320" t="str">
        <f>IF(【進行】結果入力表!G62="","",【進行】結果入力表!G62)</f>
        <v/>
      </c>
      <c r="AS33" s="315"/>
      <c r="AT33" s="166" t="str">
        <f t="shared" si="116"/>
        <v/>
      </c>
      <c r="AU33" s="166" t="str">
        <f t="shared" si="117"/>
        <v/>
      </c>
      <c r="AV33" s="165" t="str">
        <f t="shared" si="118"/>
        <v/>
      </c>
      <c r="AW33" s="165" t="str">
        <f t="shared" si="119"/>
        <v/>
      </c>
      <c r="AX33" s="321" t="str">
        <f t="shared" si="120"/>
        <v/>
      </c>
      <c r="AY33" s="322"/>
      <c r="AZ33" s="314" t="str">
        <f t="shared" si="121"/>
        <v/>
      </c>
      <c r="BA33" s="323"/>
      <c r="BB33" s="320" t="str">
        <f>IF(【進行】結果入力表!G78="","",【進行】結果入力表!G78)</f>
        <v/>
      </c>
      <c r="BC33" s="315"/>
      <c r="BD33" s="166" t="str">
        <f t="shared" si="122"/>
        <v/>
      </c>
      <c r="BE33" s="166" t="str">
        <f t="shared" si="123"/>
        <v/>
      </c>
      <c r="BF33" s="165" t="str">
        <f t="shared" si="124"/>
        <v/>
      </c>
      <c r="BG33" s="165" t="str">
        <f t="shared" si="125"/>
        <v/>
      </c>
      <c r="BH33" s="321" t="str">
        <f t="shared" si="126"/>
        <v/>
      </c>
      <c r="BI33" s="322"/>
      <c r="BJ33" s="314" t="str">
        <f t="shared" si="127"/>
        <v/>
      </c>
      <c r="BK33" s="315"/>
      <c r="BL33" s="189" t="str">
        <f t="shared" si="128"/>
        <v/>
      </c>
      <c r="BM33" s="168" t="str">
        <f>IF(【進行】結果入力表!I14="","",IF(【進行】結果入力表!H14="","",【進行】結果入力表!H14))</f>
        <v/>
      </c>
      <c r="BN33" s="169" t="str">
        <f>IF(【進行】結果入力表!I30="","",IF(【進行】結果入力表!H30="","",【進行】結果入力表!H30))</f>
        <v/>
      </c>
      <c r="BO33" s="169" t="str">
        <f>IF(【進行】結果入力表!I38="","",IF(【進行】結果入力表!H38="","",【進行】結果入力表!H38))</f>
        <v/>
      </c>
      <c r="BP33" s="169" t="str">
        <f>IF(【進行】結果入力表!I54="","",IF(【進行】結果入力表!H54="","",【進行】結果入力表!H54))</f>
        <v/>
      </c>
      <c r="BQ33" s="169" t="str">
        <f>IF(【進行】結果入力表!I61="","",IF(【進行】結果入力表!H62="","",【進行】結果入力表!H62))</f>
        <v/>
      </c>
      <c r="BR33" s="170" t="str">
        <f>IF(【進行】結果入力表!I78="","",IF(【進行】結果入力表!H78="","",【進行】結果入力表!H78))</f>
        <v/>
      </c>
      <c r="BS33" s="114"/>
      <c r="BT33" s="125">
        <f t="shared" si="129"/>
        <v>0</v>
      </c>
      <c r="BU33" s="125">
        <f t="shared" si="129"/>
        <v>0</v>
      </c>
      <c r="BV33" s="125">
        <f t="shared" si="130"/>
        <v>0</v>
      </c>
      <c r="BW33" s="125">
        <f t="shared" si="131"/>
        <v>0</v>
      </c>
      <c r="BX33" s="125">
        <f t="shared" si="132"/>
        <v>10</v>
      </c>
      <c r="BY33" s="125" t="str">
        <f t="shared" si="133"/>
        <v/>
      </c>
      <c r="BZ33" s="125" t="str">
        <f t="shared" si="134"/>
        <v>SBC</v>
      </c>
      <c r="CA33" s="125">
        <f t="shared" si="135"/>
        <v>0</v>
      </c>
      <c r="CB33" s="125"/>
      <c r="CC33" s="171" t="str">
        <f>IF(B33="","",COUNTIF(F33:BC33,"w"))</f>
        <v/>
      </c>
      <c r="CD33" s="172" t="str">
        <f>IF(B33="","",COUNT(F33,N33,AH33,X33,AR33,BB33))</f>
        <v/>
      </c>
      <c r="CE33" s="173" t="str">
        <f>IF(CC33="","",CC33*180+SUM(F33,N33,AH33,X33,AR33,BB33)*180/E33)</f>
        <v/>
      </c>
      <c r="CF33" s="174" t="str">
        <f>IF(B33="","",CC33*100000+CE33)</f>
        <v/>
      </c>
      <c r="CG33" s="114"/>
      <c r="CH33" s="114"/>
    </row>
    <row r="34" spans="1:86" ht="17.25" customHeight="1" thickTop="1" thickBot="1" x14ac:dyDescent="0.2">
      <c r="A34" s="354"/>
      <c r="B34" s="316" t="s">
        <v>87</v>
      </c>
      <c r="C34" s="317"/>
      <c r="D34" s="318"/>
      <c r="E34" s="175"/>
      <c r="F34" s="310"/>
      <c r="G34" s="311"/>
      <c r="H34" s="176">
        <f>IF(COUNTBLANK(H26:H33)=8,"",SUM(H26:H33))</f>
        <v>6</v>
      </c>
      <c r="I34" s="176">
        <f>IF(COUNTBLANK(I26:I33)=8,"",SUM(I26:I33))</f>
        <v>1</v>
      </c>
      <c r="J34" s="312">
        <f>IF($B26="","",SUM(J26:J33))</f>
        <v>1149</v>
      </c>
      <c r="K34" s="313">
        <f>IF($B26="","",SUM(K26:K33))</f>
        <v>0</v>
      </c>
      <c r="L34" s="308">
        <f>IF(COUNTBLANK(L26:L33)=8,"",SUM(L26:L33))</f>
        <v>1168.7142857142858</v>
      </c>
      <c r="M34" s="309">
        <f>IF($B26="","",SUM(M26:M33))</f>
        <v>0</v>
      </c>
      <c r="N34" s="310"/>
      <c r="O34" s="311"/>
      <c r="P34" s="177">
        <f>SUM(P26:P33)</f>
        <v>5</v>
      </c>
      <c r="Q34" s="177">
        <f>SUM(Q26:Q33)</f>
        <v>2</v>
      </c>
      <c r="R34" s="176">
        <f>IF(COUNTBLANK(R26:R33)=8,"",SUM(H34,P34))</f>
        <v>11</v>
      </c>
      <c r="S34" s="176">
        <f>IF(COUNTBLANK(S26:S33)=8,"",SUM(I34,Q34))</f>
        <v>3</v>
      </c>
      <c r="T34" s="312">
        <f>IF($B26="","",SUM(T26:T33))</f>
        <v>2261</v>
      </c>
      <c r="U34" s="313">
        <f>IF($B26="","",SUM(U26:U33))</f>
        <v>0</v>
      </c>
      <c r="V34" s="308">
        <f>IF(COUNTBLANK(V26:V33)=8,"",SUM(V26:V33))</f>
        <v>2297.5714285714284</v>
      </c>
      <c r="W34" s="309">
        <f>IF($B26="","",SUM(W26:W33))</f>
        <v>0</v>
      </c>
      <c r="X34" s="310"/>
      <c r="Y34" s="311"/>
      <c r="Z34" s="177">
        <f>SUM(Z26:Z33)</f>
        <v>4</v>
      </c>
      <c r="AA34" s="177">
        <f>SUM(AA26:AA33)</f>
        <v>3</v>
      </c>
      <c r="AB34" s="176">
        <f>IF(COUNTBLANK(AB26:AB33)=8,"",SUM(R34,Z34))</f>
        <v>15</v>
      </c>
      <c r="AC34" s="176">
        <f>IF(COUNTBLANK(AC26:AC33)=8,"",SUM(S34,AA34))</f>
        <v>6</v>
      </c>
      <c r="AD34" s="312">
        <f>IF($B26="","",SUM(AD26:AD33))</f>
        <v>3154</v>
      </c>
      <c r="AE34" s="313">
        <f>IF($B26="","",SUM(AE26:AE33))</f>
        <v>0</v>
      </c>
      <c r="AF34" s="308">
        <f>IF(COUNTBLANK(AF26:AF33)=8,"",SUM(AF26:AF33))</f>
        <v>3197.1428571428573</v>
      </c>
      <c r="AG34" s="309">
        <f>IF($B26="","",SUM(AG26:AG33))</f>
        <v>0</v>
      </c>
      <c r="AH34" s="310"/>
      <c r="AI34" s="311"/>
      <c r="AJ34" s="177">
        <f>SUM(AJ26:AJ33)</f>
        <v>6</v>
      </c>
      <c r="AK34" s="177">
        <f>SUM(AK26:AK33)</f>
        <v>1</v>
      </c>
      <c r="AL34" s="176">
        <f>IF(COUNTBLANK(AL26:AL33)=8,"",SUM(AB34,AJ34))</f>
        <v>21</v>
      </c>
      <c r="AM34" s="176">
        <f>IF(COUNTBLANK(AM26:AM33)=8,"",SUM(AC34,AK34))</f>
        <v>7</v>
      </c>
      <c r="AN34" s="312">
        <f>IF($B26="","",SUM(AN26:AN33))</f>
        <v>4297</v>
      </c>
      <c r="AO34" s="313">
        <f>IF($B26="","",SUM(AO26:AO33))</f>
        <v>0</v>
      </c>
      <c r="AP34" s="308">
        <f>IF(COUNTBLANK(AP26:AP33)=8,"",SUM(AP26:AP33))</f>
        <v>4380.1428571428569</v>
      </c>
      <c r="AQ34" s="309">
        <f>IF($B26="","",SUM(AQ26:AQ33))</f>
        <v>0</v>
      </c>
      <c r="AR34" s="310"/>
      <c r="AS34" s="311"/>
      <c r="AT34" s="177">
        <f>SUM(AT26:AT33)</f>
        <v>3</v>
      </c>
      <c r="AU34" s="177">
        <f>SUM(AU26:AU33)</f>
        <v>4</v>
      </c>
      <c r="AV34" s="176">
        <f>IF(COUNTBLANK(AV26:AV33)=8,"",SUM(AL34,AT34))</f>
        <v>24</v>
      </c>
      <c r="AW34" s="176">
        <f>IF(COUNTBLANK(AW26:AW33)=8,"",SUM(AM34,AU34))</f>
        <v>11</v>
      </c>
      <c r="AX34" s="312">
        <f>IF($B26="","",SUM(AX26:AX33))</f>
        <v>5051</v>
      </c>
      <c r="AY34" s="313">
        <f>IF($B26="","",SUM(AY26:AY33))</f>
        <v>0</v>
      </c>
      <c r="AZ34" s="308">
        <f>IF(COUNTBLANK(AZ26:AZ33)=8,"",SUM(AZ26:AZ33))</f>
        <v>5162.1428571428569</v>
      </c>
      <c r="BA34" s="309">
        <f>IF($B26="","",SUM(BA26:BA33))</f>
        <v>0</v>
      </c>
      <c r="BB34" s="310"/>
      <c r="BC34" s="311"/>
      <c r="BD34" s="177">
        <f>SUM(BD26:BD33)</f>
        <v>2</v>
      </c>
      <c r="BE34" s="177">
        <f>SUM(BE26:BE33)</f>
        <v>5</v>
      </c>
      <c r="BF34" s="176">
        <f>IF(COUNTBLANK(BF26:BF33)=8,"",SUM(AV34,BD34))</f>
        <v>26</v>
      </c>
      <c r="BG34" s="176">
        <f>IF(COUNTBLANK(BG26:BG33)=8,"",SUM(AW34,BE34))</f>
        <v>16</v>
      </c>
      <c r="BH34" s="312">
        <f>IF(COUNTIF(BH26:BI33,"")=16,"",SUM(BH26:BH33))</f>
        <v>5946</v>
      </c>
      <c r="BI34" s="313">
        <f>IF($B26="","",SUM(BI26:BI33))</f>
        <v>0</v>
      </c>
      <c r="BJ34" s="308">
        <f>IF(COUNTBLANK(BJ26:BJ33)=8,"",SUM(BJ26:BJ33))</f>
        <v>6085.7142857142853</v>
      </c>
      <c r="BK34" s="311">
        <f>IF($B26="","",SUM(BK26:BK33))</f>
        <v>0</v>
      </c>
      <c r="BL34" s="178"/>
      <c r="BM34" s="179"/>
      <c r="BN34" s="180"/>
      <c r="BO34" s="180"/>
      <c r="BP34" s="180"/>
      <c r="BQ34" s="180"/>
      <c r="BR34" s="181"/>
      <c r="BS34" s="114"/>
      <c r="BT34" s="114"/>
      <c r="BU34" s="114"/>
      <c r="BV34" s="114"/>
      <c r="BW34" s="114"/>
      <c r="BX34" s="114"/>
      <c r="BY34" s="114"/>
      <c r="BZ34" s="125"/>
      <c r="CA34" s="114"/>
      <c r="CB34" s="114"/>
      <c r="CC34" s="182">
        <f>SUM(CC26:CC33)</f>
        <v>26</v>
      </c>
      <c r="CD34" s="183">
        <f>SUM(CD26:CD33)</f>
        <v>16</v>
      </c>
      <c r="CE34" s="183">
        <f>SUM(CE26:CE33)</f>
        <v>6085.7142857142862</v>
      </c>
      <c r="CF34" s="184">
        <f>SUM(CF26:CF33)</f>
        <v>2606085.7142857141</v>
      </c>
      <c r="CG34" s="114"/>
      <c r="CH34" s="114"/>
    </row>
    <row r="35" spans="1:86" ht="14.25" x14ac:dyDescent="0.15">
      <c r="B35" s="190" t="s">
        <v>88</v>
      </c>
      <c r="C35" s="191" t="s">
        <v>89</v>
      </c>
      <c r="BK35" s="193"/>
      <c r="BZ35" s="125"/>
    </row>
    <row r="36" spans="1:86" x14ac:dyDescent="0.15">
      <c r="BK36" s="193"/>
    </row>
    <row r="37" spans="1:86" x14ac:dyDescent="0.15">
      <c r="BK37" s="193"/>
    </row>
    <row r="38" spans="1:86" x14ac:dyDescent="0.15">
      <c r="BK38" s="193"/>
    </row>
    <row r="39" spans="1:86" x14ac:dyDescent="0.15">
      <c r="BK39" s="193"/>
    </row>
    <row r="40" spans="1:86" x14ac:dyDescent="0.15">
      <c r="BK40" s="193"/>
    </row>
    <row r="41" spans="1:86" x14ac:dyDescent="0.15">
      <c r="BK41" s="193"/>
    </row>
    <row r="42" spans="1:86" x14ac:dyDescent="0.15">
      <c r="BK42" s="193"/>
    </row>
  </sheetData>
  <mergeCells count="578">
    <mergeCell ref="BM2:BR2"/>
    <mergeCell ref="F4:W4"/>
    <mergeCell ref="X4:AQ4"/>
    <mergeCell ref="AR4:BK4"/>
    <mergeCell ref="BM4:BR4"/>
    <mergeCell ref="A5:A14"/>
    <mergeCell ref="B5:D5"/>
    <mergeCell ref="F5:G5"/>
    <mergeCell ref="J5:K5"/>
    <mergeCell ref="L5:M5"/>
    <mergeCell ref="B6:D6"/>
    <mergeCell ref="F6:G6"/>
    <mergeCell ref="J6:K6"/>
    <mergeCell ref="L6:M6"/>
    <mergeCell ref="N6:O6"/>
    <mergeCell ref="T6:U6"/>
    <mergeCell ref="V6:W6"/>
    <mergeCell ref="AH5:AI5"/>
    <mergeCell ref="AN5:AO5"/>
    <mergeCell ref="N5:O5"/>
    <mergeCell ref="T5:U5"/>
    <mergeCell ref="V5:W5"/>
    <mergeCell ref="X5:Y5"/>
    <mergeCell ref="AD5:AE5"/>
    <mergeCell ref="AF5:AG5"/>
    <mergeCell ref="BJ6:BK6"/>
    <mergeCell ref="X6:Y6"/>
    <mergeCell ref="AD6:AE6"/>
    <mergeCell ref="AF6:AG6"/>
    <mergeCell ref="AH6:AI6"/>
    <mergeCell ref="AN6:AO6"/>
    <mergeCell ref="AP6:AQ6"/>
    <mergeCell ref="BB5:BC5"/>
    <mergeCell ref="BH5:BI5"/>
    <mergeCell ref="BJ5:BK5"/>
    <mergeCell ref="AP5:AQ5"/>
    <mergeCell ref="AR5:AS5"/>
    <mergeCell ref="AX5:AY5"/>
    <mergeCell ref="AZ5:BA5"/>
    <mergeCell ref="J7:K7"/>
    <mergeCell ref="L7:M7"/>
    <mergeCell ref="N7:O7"/>
    <mergeCell ref="T7:U7"/>
    <mergeCell ref="AR6:AS6"/>
    <mergeCell ref="AX6:AY6"/>
    <mergeCell ref="AZ6:BA6"/>
    <mergeCell ref="BB6:BC6"/>
    <mergeCell ref="BH6:BI6"/>
    <mergeCell ref="BJ7:BK7"/>
    <mergeCell ref="B8:D8"/>
    <mergeCell ref="F8:G8"/>
    <mergeCell ref="J8:K8"/>
    <mergeCell ref="L8:M8"/>
    <mergeCell ref="N8:O8"/>
    <mergeCell ref="T8:U8"/>
    <mergeCell ref="V8:W8"/>
    <mergeCell ref="X8:Y8"/>
    <mergeCell ref="AD8:AE8"/>
    <mergeCell ref="AP7:AQ7"/>
    <mergeCell ref="AR7:AS7"/>
    <mergeCell ref="AX7:AY7"/>
    <mergeCell ref="AZ7:BA7"/>
    <mergeCell ref="BB7:BC7"/>
    <mergeCell ref="BH7:BI7"/>
    <mergeCell ref="V7:W7"/>
    <mergeCell ref="X7:Y7"/>
    <mergeCell ref="AD7:AE7"/>
    <mergeCell ref="AF7:AG7"/>
    <mergeCell ref="AH7:AI7"/>
    <mergeCell ref="AN7:AO7"/>
    <mergeCell ref="B7:D7"/>
    <mergeCell ref="F7:G7"/>
    <mergeCell ref="AZ8:BA8"/>
    <mergeCell ref="BB8:BC8"/>
    <mergeCell ref="BH8:BI8"/>
    <mergeCell ref="BJ8:BK8"/>
    <mergeCell ref="B9:D9"/>
    <mergeCell ref="F9:G9"/>
    <mergeCell ref="J9:K9"/>
    <mergeCell ref="L9:M9"/>
    <mergeCell ref="N9:O9"/>
    <mergeCell ref="T9:U9"/>
    <mergeCell ref="AF8:AG8"/>
    <mergeCell ref="AH8:AI8"/>
    <mergeCell ref="AN8:AO8"/>
    <mergeCell ref="AP8:AQ8"/>
    <mergeCell ref="AR8:AS8"/>
    <mergeCell ref="AX8:AY8"/>
    <mergeCell ref="BJ9:BK9"/>
    <mergeCell ref="B10:D10"/>
    <mergeCell ref="F10:G10"/>
    <mergeCell ref="J10:K10"/>
    <mergeCell ref="L10:M10"/>
    <mergeCell ref="N10:O10"/>
    <mergeCell ref="T10:U10"/>
    <mergeCell ref="V10:W10"/>
    <mergeCell ref="X10:Y10"/>
    <mergeCell ref="AD10:AE10"/>
    <mergeCell ref="AP9:AQ9"/>
    <mergeCell ref="AR9:AS9"/>
    <mergeCell ref="AX9:AY9"/>
    <mergeCell ref="AZ9:BA9"/>
    <mergeCell ref="BB9:BC9"/>
    <mergeCell ref="BH9:BI9"/>
    <mergeCell ref="V9:W9"/>
    <mergeCell ref="X9:Y9"/>
    <mergeCell ref="AD9:AE9"/>
    <mergeCell ref="AF9:AG9"/>
    <mergeCell ref="AH9:AI9"/>
    <mergeCell ref="AN9:AO9"/>
    <mergeCell ref="AZ10:BA10"/>
    <mergeCell ref="BB10:BC10"/>
    <mergeCell ref="BH10:BI10"/>
    <mergeCell ref="BJ10:BK10"/>
    <mergeCell ref="B11:D11"/>
    <mergeCell ref="F11:G11"/>
    <mergeCell ref="J11:K11"/>
    <mergeCell ref="L11:M11"/>
    <mergeCell ref="N11:O11"/>
    <mergeCell ref="T11:U11"/>
    <mergeCell ref="AF10:AG10"/>
    <mergeCell ref="AH10:AI10"/>
    <mergeCell ref="AN10:AO10"/>
    <mergeCell ref="AP10:AQ10"/>
    <mergeCell ref="AR10:AS10"/>
    <mergeCell ref="AX10:AY10"/>
    <mergeCell ref="BJ11:BK11"/>
    <mergeCell ref="B12:D12"/>
    <mergeCell ref="F12:G12"/>
    <mergeCell ref="J12:K12"/>
    <mergeCell ref="L12:M12"/>
    <mergeCell ref="N12:O12"/>
    <mergeCell ref="T12:U12"/>
    <mergeCell ref="V12:W12"/>
    <mergeCell ref="X12:Y12"/>
    <mergeCell ref="AD12:AE12"/>
    <mergeCell ref="AP11:AQ11"/>
    <mergeCell ref="AR11:AS11"/>
    <mergeCell ref="AX11:AY11"/>
    <mergeCell ref="AZ11:BA11"/>
    <mergeCell ref="BB11:BC11"/>
    <mergeCell ref="BH11:BI11"/>
    <mergeCell ref="V11:W11"/>
    <mergeCell ref="X11:Y11"/>
    <mergeCell ref="AD11:AE11"/>
    <mergeCell ref="AF11:AG11"/>
    <mergeCell ref="AH11:AI11"/>
    <mergeCell ref="AN11:AO11"/>
    <mergeCell ref="AZ12:BA12"/>
    <mergeCell ref="BB12:BC12"/>
    <mergeCell ref="BH12:BI12"/>
    <mergeCell ref="BJ12:BK12"/>
    <mergeCell ref="B13:D13"/>
    <mergeCell ref="F13:G13"/>
    <mergeCell ref="J13:K13"/>
    <mergeCell ref="L13:M13"/>
    <mergeCell ref="N13:O13"/>
    <mergeCell ref="T13:U13"/>
    <mergeCell ref="AF12:AG12"/>
    <mergeCell ref="AH12:AI12"/>
    <mergeCell ref="AN12:AO12"/>
    <mergeCell ref="AP12:AQ12"/>
    <mergeCell ref="AR12:AS12"/>
    <mergeCell ref="AX12:AY12"/>
    <mergeCell ref="BJ13:BK13"/>
    <mergeCell ref="B14:D14"/>
    <mergeCell ref="F14:G14"/>
    <mergeCell ref="J14:K14"/>
    <mergeCell ref="L14:M14"/>
    <mergeCell ref="N14:O14"/>
    <mergeCell ref="T14:U14"/>
    <mergeCell ref="V14:W14"/>
    <mergeCell ref="X14:Y14"/>
    <mergeCell ref="AD14:AE14"/>
    <mergeCell ref="AP13:AQ13"/>
    <mergeCell ref="AR13:AS13"/>
    <mergeCell ref="AX13:AY13"/>
    <mergeCell ref="AZ13:BA13"/>
    <mergeCell ref="BB13:BC13"/>
    <mergeCell ref="BH13:BI13"/>
    <mergeCell ref="V13:W13"/>
    <mergeCell ref="X13:Y13"/>
    <mergeCell ref="AD13:AE13"/>
    <mergeCell ref="AF13:AG13"/>
    <mergeCell ref="AH13:AI13"/>
    <mergeCell ref="AN13:AO13"/>
    <mergeCell ref="AZ14:BA14"/>
    <mergeCell ref="BB14:BC14"/>
    <mergeCell ref="BH14:BI14"/>
    <mergeCell ref="BJ14:BK14"/>
    <mergeCell ref="A15:A24"/>
    <mergeCell ref="B15:D15"/>
    <mergeCell ref="F15:G15"/>
    <mergeCell ref="J15:K15"/>
    <mergeCell ref="L15:M15"/>
    <mergeCell ref="N15:O15"/>
    <mergeCell ref="AF14:AG14"/>
    <mergeCell ref="AH14:AI14"/>
    <mergeCell ref="AN14:AO14"/>
    <mergeCell ref="AP14:AQ14"/>
    <mergeCell ref="AR14:AS14"/>
    <mergeCell ref="AX14:AY14"/>
    <mergeCell ref="BH15:BI15"/>
    <mergeCell ref="BJ15:BK15"/>
    <mergeCell ref="B16:D16"/>
    <mergeCell ref="F16:G16"/>
    <mergeCell ref="J16:K16"/>
    <mergeCell ref="L16:M16"/>
    <mergeCell ref="N16:O16"/>
    <mergeCell ref="T16:U16"/>
    <mergeCell ref="V16:W16"/>
    <mergeCell ref="X16:Y16"/>
    <mergeCell ref="AN15:AO15"/>
    <mergeCell ref="AP15:AQ15"/>
    <mergeCell ref="AR15:AS15"/>
    <mergeCell ref="AX15:AY15"/>
    <mergeCell ref="AZ15:BA15"/>
    <mergeCell ref="BB15:BC15"/>
    <mergeCell ref="T15:U15"/>
    <mergeCell ref="V15:W15"/>
    <mergeCell ref="X15:Y15"/>
    <mergeCell ref="AD15:AE15"/>
    <mergeCell ref="AF15:AG15"/>
    <mergeCell ref="AH15:AI15"/>
    <mergeCell ref="AX16:AY16"/>
    <mergeCell ref="AZ16:BA16"/>
    <mergeCell ref="BB16:BC16"/>
    <mergeCell ref="BH16:BI16"/>
    <mergeCell ref="BJ16:BK16"/>
    <mergeCell ref="B17:D17"/>
    <mergeCell ref="F17:G17"/>
    <mergeCell ref="J17:K17"/>
    <mergeCell ref="L17:M17"/>
    <mergeCell ref="N17:O17"/>
    <mergeCell ref="AD16:AE16"/>
    <mergeCell ref="AF16:AG16"/>
    <mergeCell ref="AH16:AI16"/>
    <mergeCell ref="AN16:AO16"/>
    <mergeCell ref="AP16:AQ16"/>
    <mergeCell ref="AR16:AS16"/>
    <mergeCell ref="BH17:BI17"/>
    <mergeCell ref="BJ17:BK17"/>
    <mergeCell ref="B18:D18"/>
    <mergeCell ref="F18:G18"/>
    <mergeCell ref="J18:K18"/>
    <mergeCell ref="L18:M18"/>
    <mergeCell ref="N18:O18"/>
    <mergeCell ref="T18:U18"/>
    <mergeCell ref="V18:W18"/>
    <mergeCell ref="X18:Y18"/>
    <mergeCell ref="AN17:AO17"/>
    <mergeCell ref="AP17:AQ17"/>
    <mergeCell ref="AR17:AS17"/>
    <mergeCell ref="AX17:AY17"/>
    <mergeCell ref="AZ17:BA17"/>
    <mergeCell ref="BB17:BC17"/>
    <mergeCell ref="T17:U17"/>
    <mergeCell ref="V17:W17"/>
    <mergeCell ref="X17:Y17"/>
    <mergeCell ref="AD17:AE17"/>
    <mergeCell ref="AF17:AG17"/>
    <mergeCell ref="AH17:AI17"/>
    <mergeCell ref="AX18:AY18"/>
    <mergeCell ref="AZ18:BA18"/>
    <mergeCell ref="BB18:BC18"/>
    <mergeCell ref="BH18:BI18"/>
    <mergeCell ref="BJ18:BK18"/>
    <mergeCell ref="B19:D19"/>
    <mergeCell ref="F19:G19"/>
    <mergeCell ref="J19:K19"/>
    <mergeCell ref="L19:M19"/>
    <mergeCell ref="N19:O19"/>
    <mergeCell ref="AD18:AE18"/>
    <mergeCell ref="AF18:AG18"/>
    <mergeCell ref="AH18:AI18"/>
    <mergeCell ref="AN18:AO18"/>
    <mergeCell ref="AP18:AQ18"/>
    <mergeCell ref="AR18:AS18"/>
    <mergeCell ref="BH19:BI19"/>
    <mergeCell ref="BJ19:BK19"/>
    <mergeCell ref="B20:D20"/>
    <mergeCell ref="F20:G20"/>
    <mergeCell ref="J20:K20"/>
    <mergeCell ref="L20:M20"/>
    <mergeCell ref="N20:O20"/>
    <mergeCell ref="T20:U20"/>
    <mergeCell ref="V20:W20"/>
    <mergeCell ref="X20:Y20"/>
    <mergeCell ref="AN19:AO19"/>
    <mergeCell ref="AP19:AQ19"/>
    <mergeCell ref="AR19:AS19"/>
    <mergeCell ref="AX19:AY19"/>
    <mergeCell ref="AZ19:BA19"/>
    <mergeCell ref="BB19:BC19"/>
    <mergeCell ref="T19:U19"/>
    <mergeCell ref="V19:W19"/>
    <mergeCell ref="X19:Y19"/>
    <mergeCell ref="AD19:AE19"/>
    <mergeCell ref="AF19:AG19"/>
    <mergeCell ref="AH19:AI19"/>
    <mergeCell ref="AX20:AY20"/>
    <mergeCell ref="AZ20:BA20"/>
    <mergeCell ref="BB20:BC20"/>
    <mergeCell ref="BH20:BI20"/>
    <mergeCell ref="BJ20:BK20"/>
    <mergeCell ref="B21:D21"/>
    <mergeCell ref="F21:G21"/>
    <mergeCell ref="J21:K21"/>
    <mergeCell ref="L21:M21"/>
    <mergeCell ref="N21:O21"/>
    <mergeCell ref="AD20:AE20"/>
    <mergeCell ref="AF20:AG20"/>
    <mergeCell ref="AH20:AI20"/>
    <mergeCell ref="AN20:AO20"/>
    <mergeCell ref="AP20:AQ20"/>
    <mergeCell ref="AR20:AS20"/>
    <mergeCell ref="BH21:BI21"/>
    <mergeCell ref="BJ21:BK21"/>
    <mergeCell ref="B22:D22"/>
    <mergeCell ref="F22:G22"/>
    <mergeCell ref="J22:K22"/>
    <mergeCell ref="L22:M22"/>
    <mergeCell ref="N22:O22"/>
    <mergeCell ref="T22:U22"/>
    <mergeCell ref="V22:W22"/>
    <mergeCell ref="X22:Y22"/>
    <mergeCell ref="AN21:AO21"/>
    <mergeCell ref="AP21:AQ21"/>
    <mergeCell ref="AR21:AS21"/>
    <mergeCell ref="AX21:AY21"/>
    <mergeCell ref="AZ21:BA21"/>
    <mergeCell ref="BB21:BC21"/>
    <mergeCell ref="T21:U21"/>
    <mergeCell ref="V21:W21"/>
    <mergeCell ref="X21:Y21"/>
    <mergeCell ref="AD21:AE21"/>
    <mergeCell ref="AF21:AG21"/>
    <mergeCell ref="AH21:AI21"/>
    <mergeCell ref="AX22:AY22"/>
    <mergeCell ref="AZ22:BA22"/>
    <mergeCell ref="BB22:BC22"/>
    <mergeCell ref="BH22:BI22"/>
    <mergeCell ref="BJ22:BK22"/>
    <mergeCell ref="B23:D23"/>
    <mergeCell ref="F23:G23"/>
    <mergeCell ref="J23:K23"/>
    <mergeCell ref="L23:M23"/>
    <mergeCell ref="N23:O23"/>
    <mergeCell ref="AD22:AE22"/>
    <mergeCell ref="AF22:AG22"/>
    <mergeCell ref="AH22:AI22"/>
    <mergeCell ref="AN22:AO22"/>
    <mergeCell ref="AP22:AQ22"/>
    <mergeCell ref="AR22:AS22"/>
    <mergeCell ref="BH23:BI23"/>
    <mergeCell ref="BJ23:BK23"/>
    <mergeCell ref="B24:D24"/>
    <mergeCell ref="F24:G24"/>
    <mergeCell ref="J24:K24"/>
    <mergeCell ref="L24:M24"/>
    <mergeCell ref="N24:O24"/>
    <mergeCell ref="T24:U24"/>
    <mergeCell ref="V24:W24"/>
    <mergeCell ref="X24:Y24"/>
    <mergeCell ref="AN23:AO23"/>
    <mergeCell ref="AP23:AQ23"/>
    <mergeCell ref="AR23:AS23"/>
    <mergeCell ref="AX23:AY23"/>
    <mergeCell ref="AZ23:BA23"/>
    <mergeCell ref="BB23:BC23"/>
    <mergeCell ref="T23:U23"/>
    <mergeCell ref="V23:W23"/>
    <mergeCell ref="X23:Y23"/>
    <mergeCell ref="AD23:AE23"/>
    <mergeCell ref="AF23:AG23"/>
    <mergeCell ref="AH23:AI23"/>
    <mergeCell ref="AX24:AY24"/>
    <mergeCell ref="AZ24:BA24"/>
    <mergeCell ref="BB24:BC24"/>
    <mergeCell ref="BH24:BI24"/>
    <mergeCell ref="BJ24:BK24"/>
    <mergeCell ref="A25:A34"/>
    <mergeCell ref="B25:D25"/>
    <mergeCell ref="F25:G25"/>
    <mergeCell ref="J25:K25"/>
    <mergeCell ref="L25:M25"/>
    <mergeCell ref="AD24:AE24"/>
    <mergeCell ref="AF24:AG24"/>
    <mergeCell ref="AH24:AI24"/>
    <mergeCell ref="AN24:AO24"/>
    <mergeCell ref="AP24:AQ24"/>
    <mergeCell ref="AR24:AS24"/>
    <mergeCell ref="B26:D26"/>
    <mergeCell ref="F26:G26"/>
    <mergeCell ref="J26:K26"/>
    <mergeCell ref="L26:M26"/>
    <mergeCell ref="N26:O26"/>
    <mergeCell ref="T26:U26"/>
    <mergeCell ref="V26:W26"/>
    <mergeCell ref="AH25:AI25"/>
    <mergeCell ref="AN25:AO25"/>
    <mergeCell ref="N25:O25"/>
    <mergeCell ref="T25:U25"/>
    <mergeCell ref="V25:W25"/>
    <mergeCell ref="X25:Y25"/>
    <mergeCell ref="AD25:AE25"/>
    <mergeCell ref="AF25:AG25"/>
    <mergeCell ref="BJ26:BK26"/>
    <mergeCell ref="X26:Y26"/>
    <mergeCell ref="AD26:AE26"/>
    <mergeCell ref="AF26:AG26"/>
    <mergeCell ref="AH26:AI26"/>
    <mergeCell ref="AN26:AO26"/>
    <mergeCell ref="AP26:AQ26"/>
    <mergeCell ref="BB25:BC25"/>
    <mergeCell ref="BH25:BI25"/>
    <mergeCell ref="BJ25:BK25"/>
    <mergeCell ref="AP25:AQ25"/>
    <mergeCell ref="AR25:AS25"/>
    <mergeCell ref="AX25:AY25"/>
    <mergeCell ref="AZ25:BA25"/>
    <mergeCell ref="J27:K27"/>
    <mergeCell ref="L27:M27"/>
    <mergeCell ref="N27:O27"/>
    <mergeCell ref="T27:U27"/>
    <mergeCell ref="AR26:AS26"/>
    <mergeCell ref="AX26:AY26"/>
    <mergeCell ref="AZ26:BA26"/>
    <mergeCell ref="BB26:BC26"/>
    <mergeCell ref="BH26:BI26"/>
    <mergeCell ref="BJ27:BK27"/>
    <mergeCell ref="B28:D28"/>
    <mergeCell ref="F28:G28"/>
    <mergeCell ref="J28:K28"/>
    <mergeCell ref="L28:M28"/>
    <mergeCell ref="N28:O28"/>
    <mergeCell ref="T28:U28"/>
    <mergeCell ref="V28:W28"/>
    <mergeCell ref="X28:Y28"/>
    <mergeCell ref="AD28:AE28"/>
    <mergeCell ref="AP27:AQ27"/>
    <mergeCell ref="AR27:AS27"/>
    <mergeCell ref="AX27:AY27"/>
    <mergeCell ref="AZ27:BA27"/>
    <mergeCell ref="BB27:BC27"/>
    <mergeCell ref="BH27:BI27"/>
    <mergeCell ref="V27:W27"/>
    <mergeCell ref="X27:Y27"/>
    <mergeCell ref="AD27:AE27"/>
    <mergeCell ref="AF27:AG27"/>
    <mergeCell ref="AH27:AI27"/>
    <mergeCell ref="AN27:AO27"/>
    <mergeCell ref="B27:D27"/>
    <mergeCell ref="F27:G27"/>
    <mergeCell ref="AZ28:BA28"/>
    <mergeCell ref="BB28:BC28"/>
    <mergeCell ref="BH28:BI28"/>
    <mergeCell ref="BJ28:BK28"/>
    <mergeCell ref="B29:D29"/>
    <mergeCell ref="F29:G29"/>
    <mergeCell ref="J29:K29"/>
    <mergeCell ref="L29:M29"/>
    <mergeCell ref="N29:O29"/>
    <mergeCell ref="T29:U29"/>
    <mergeCell ref="AF28:AG28"/>
    <mergeCell ref="AH28:AI28"/>
    <mergeCell ref="AN28:AO28"/>
    <mergeCell ref="AP28:AQ28"/>
    <mergeCell ref="AR28:AS28"/>
    <mergeCell ref="AX28:AY28"/>
    <mergeCell ref="BJ29:BK29"/>
    <mergeCell ref="B30:D30"/>
    <mergeCell ref="F30:G30"/>
    <mergeCell ref="J30:K30"/>
    <mergeCell ref="L30:M30"/>
    <mergeCell ref="N30:O30"/>
    <mergeCell ref="T30:U30"/>
    <mergeCell ref="V30:W30"/>
    <mergeCell ref="X30:Y30"/>
    <mergeCell ref="AD30:AE30"/>
    <mergeCell ref="AP29:AQ29"/>
    <mergeCell ref="AR29:AS29"/>
    <mergeCell ref="AX29:AY29"/>
    <mergeCell ref="AZ29:BA29"/>
    <mergeCell ref="BB29:BC29"/>
    <mergeCell ref="BH29:BI29"/>
    <mergeCell ref="V29:W29"/>
    <mergeCell ref="X29:Y29"/>
    <mergeCell ref="AD29:AE29"/>
    <mergeCell ref="AF29:AG29"/>
    <mergeCell ref="AH29:AI29"/>
    <mergeCell ref="AN29:AO29"/>
    <mergeCell ref="AZ30:BA30"/>
    <mergeCell ref="BB30:BC30"/>
    <mergeCell ref="BH30:BI30"/>
    <mergeCell ref="BJ30:BK30"/>
    <mergeCell ref="B31:D31"/>
    <mergeCell ref="F31:G31"/>
    <mergeCell ref="J31:K31"/>
    <mergeCell ref="L31:M31"/>
    <mergeCell ref="N31:O31"/>
    <mergeCell ref="T31:U31"/>
    <mergeCell ref="AF30:AG30"/>
    <mergeCell ref="AH30:AI30"/>
    <mergeCell ref="AN30:AO30"/>
    <mergeCell ref="AP30:AQ30"/>
    <mergeCell ref="AR30:AS30"/>
    <mergeCell ref="AX30:AY30"/>
    <mergeCell ref="BJ31:BK31"/>
    <mergeCell ref="B32:D32"/>
    <mergeCell ref="F32:G32"/>
    <mergeCell ref="J32:K32"/>
    <mergeCell ref="L32:M32"/>
    <mergeCell ref="N32:O32"/>
    <mergeCell ref="T32:U32"/>
    <mergeCell ref="V32:W32"/>
    <mergeCell ref="X32:Y32"/>
    <mergeCell ref="AD32:AE32"/>
    <mergeCell ref="AP31:AQ31"/>
    <mergeCell ref="AR31:AS31"/>
    <mergeCell ref="AX31:AY31"/>
    <mergeCell ref="AZ31:BA31"/>
    <mergeCell ref="BB31:BC31"/>
    <mergeCell ref="BH31:BI31"/>
    <mergeCell ref="V31:W31"/>
    <mergeCell ref="X31:Y31"/>
    <mergeCell ref="AD31:AE31"/>
    <mergeCell ref="AF31:AG31"/>
    <mergeCell ref="AH31:AI31"/>
    <mergeCell ref="AN31:AO31"/>
    <mergeCell ref="AZ32:BA32"/>
    <mergeCell ref="BB32:BC32"/>
    <mergeCell ref="BH32:BI32"/>
    <mergeCell ref="BJ32:BK32"/>
    <mergeCell ref="B33:D33"/>
    <mergeCell ref="F33:G33"/>
    <mergeCell ref="J33:K33"/>
    <mergeCell ref="L33:M33"/>
    <mergeCell ref="N33:O33"/>
    <mergeCell ref="T33:U33"/>
    <mergeCell ref="AF32:AG32"/>
    <mergeCell ref="AH32:AI32"/>
    <mergeCell ref="AN32:AO32"/>
    <mergeCell ref="AP32:AQ32"/>
    <mergeCell ref="AR32:AS32"/>
    <mergeCell ref="AX32:AY32"/>
    <mergeCell ref="BJ33:BK33"/>
    <mergeCell ref="B34:D34"/>
    <mergeCell ref="F34:G34"/>
    <mergeCell ref="J34:K34"/>
    <mergeCell ref="L34:M34"/>
    <mergeCell ref="N34:O34"/>
    <mergeCell ref="T34:U34"/>
    <mergeCell ref="V34:W34"/>
    <mergeCell ref="X34:Y34"/>
    <mergeCell ref="AD34:AE34"/>
    <mergeCell ref="AP33:AQ33"/>
    <mergeCell ref="AR33:AS33"/>
    <mergeCell ref="AX33:AY33"/>
    <mergeCell ref="AZ33:BA33"/>
    <mergeCell ref="BB33:BC33"/>
    <mergeCell ref="BH33:BI33"/>
    <mergeCell ref="V33:W33"/>
    <mergeCell ref="X33:Y33"/>
    <mergeCell ref="AD33:AE33"/>
    <mergeCell ref="AF33:AG33"/>
    <mergeCell ref="AH33:AI33"/>
    <mergeCell ref="AN33:AO33"/>
    <mergeCell ref="AZ34:BA34"/>
    <mergeCell ref="BB34:BC34"/>
    <mergeCell ref="BH34:BI34"/>
    <mergeCell ref="BJ34:BK34"/>
    <mergeCell ref="AF34:AG34"/>
    <mergeCell ref="AH34:AI34"/>
    <mergeCell ref="AN34:AO34"/>
    <mergeCell ref="AP34:AQ34"/>
    <mergeCell ref="AR34:AS34"/>
    <mergeCell ref="AX34:AY34"/>
  </mergeCells>
  <phoneticPr fontId="2"/>
  <conditionalFormatting sqref="BM26:BR33 BM16:BR23 BM6:BR13">
    <cfRule type="cellIs" dxfId="1" priority="1" stopIfTrue="1" operator="equal">
      <formula>MAX($BM$6:$BR$13,$BM$16:$BR$23,$BM$26:$BR$33)</formula>
    </cfRule>
  </conditionalFormatting>
  <conditionalFormatting sqref="BL5:BL34">
    <cfRule type="cellIs" dxfId="0" priority="2" stopIfTrue="1" operator="equal">
      <formula>1</formula>
    </cfRule>
  </conditionalFormatting>
  <printOptions horizontalCentered="1" verticalCentered="1"/>
  <pageMargins left="0.39305555555555555" right="0.39305555555555555" top="0.98402777777777772" bottom="0.39305555555555555" header="0.51111111111111107" footer="0.51111111111111107"/>
  <pageSetup paperSize="9" scale="99" firstPageNumber="42949631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43"/>
  <sheetViews>
    <sheetView zoomScale="200" zoomScaleNormal="200" workbookViewId="0">
      <selection activeCell="J12" sqref="J12:P13"/>
    </sheetView>
  </sheetViews>
  <sheetFormatPr defaultColWidth="3.625" defaultRowHeight="13.5" x14ac:dyDescent="0.15"/>
  <cols>
    <col min="1" max="2" width="2.75" style="190" customWidth="1"/>
    <col min="3" max="4" width="4" style="190" customWidth="1"/>
    <col min="5" max="5" width="5.125" style="257" hidden="1" customWidth="1"/>
    <col min="6" max="11" width="2.875" style="190" customWidth="1"/>
    <col min="12" max="13" width="3" style="190" customWidth="1"/>
    <col min="14" max="15" width="2.875" style="257" hidden="1" customWidth="1"/>
    <col min="16" max="16" width="6.125" style="190" customWidth="1"/>
    <col min="17" max="17" width="6.125" style="190" hidden="1" customWidth="1"/>
    <col min="18" max="18" width="6" style="257" hidden="1" customWidth="1"/>
    <col min="19" max="19" width="3" style="190" customWidth="1"/>
    <col min="20" max="20" width="2" style="108" customWidth="1"/>
    <col min="21" max="22" width="2.75" style="190" customWidth="1"/>
    <col min="23" max="24" width="4" style="190" customWidth="1"/>
    <col min="25" max="25" width="3.625" style="257" hidden="1" customWidth="1"/>
    <col min="26" max="31" width="2.875" style="190" customWidth="1"/>
    <col min="32" max="33" width="3" style="190" customWidth="1"/>
    <col min="34" max="35" width="2.875" style="257" hidden="1" customWidth="1"/>
    <col min="36" max="36" width="6.125" style="190" customWidth="1"/>
    <col min="37" max="37" width="6.125" style="190" hidden="1" customWidth="1"/>
    <col min="38" max="38" width="6" style="257" hidden="1" customWidth="1"/>
    <col min="39" max="39" width="3" style="190" customWidth="1"/>
    <col min="40" max="40" width="2" style="108" customWidth="1"/>
    <col min="41" max="42" width="2.75" style="192" customWidth="1"/>
    <col min="43" max="44" width="4" style="192" customWidth="1"/>
    <col min="45" max="45" width="3.625" style="258" hidden="1" customWidth="1"/>
    <col min="46" max="51" width="2.875" style="190" customWidth="1"/>
    <col min="52" max="53" width="3" style="192" customWidth="1"/>
    <col min="54" max="55" width="2.875" style="258" hidden="1" customWidth="1"/>
    <col min="56" max="56" width="6.125" style="192" customWidth="1"/>
    <col min="57" max="57" width="6.125" style="190" hidden="1" customWidth="1"/>
    <col min="58" max="58" width="6" style="257" hidden="1" customWidth="1"/>
    <col min="59" max="59" width="3" style="192" customWidth="1"/>
    <col min="60" max="16384" width="3.625" style="108"/>
  </cols>
  <sheetData>
    <row r="1" spans="1:59" ht="17.25" x14ac:dyDescent="0.2">
      <c r="A1" s="104" t="str">
        <f>【結果】個人成績表!A1</f>
        <v>第17回　和奈滋対抗戦　　　(和歌山；オーシャンドリーム)</v>
      </c>
      <c r="B1" s="104"/>
      <c r="C1" s="104"/>
      <c r="D1" s="104"/>
      <c r="E1" s="194"/>
      <c r="F1" s="104"/>
      <c r="G1" s="104"/>
      <c r="H1" s="104"/>
      <c r="I1" s="104"/>
      <c r="J1" s="104"/>
      <c r="K1" s="104"/>
      <c r="L1" s="104"/>
      <c r="M1" s="104"/>
      <c r="N1" s="194"/>
      <c r="O1" s="194"/>
      <c r="P1" s="104"/>
      <c r="Q1" s="104"/>
      <c r="R1" s="194"/>
      <c r="S1" s="104"/>
      <c r="T1" s="103"/>
      <c r="U1" s="104"/>
      <c r="V1" s="104"/>
      <c r="W1" s="104"/>
      <c r="X1" s="104"/>
      <c r="Y1" s="194"/>
      <c r="Z1" s="104"/>
      <c r="AA1" s="104"/>
      <c r="AB1" s="104"/>
      <c r="AC1" s="104"/>
      <c r="AD1" s="104"/>
      <c r="AE1" s="104"/>
      <c r="AF1" s="104"/>
      <c r="AG1" s="104"/>
      <c r="AH1" s="194"/>
      <c r="AI1" s="194"/>
      <c r="AJ1" s="104"/>
      <c r="AK1" s="104"/>
      <c r="AL1" s="194"/>
      <c r="AM1" s="104"/>
      <c r="AN1" s="103"/>
      <c r="AO1" s="104"/>
      <c r="AP1" s="104"/>
      <c r="AQ1" s="104"/>
      <c r="AR1" s="104"/>
      <c r="AS1" s="194"/>
      <c r="AT1" s="104"/>
      <c r="AU1" s="104"/>
      <c r="AV1" s="104"/>
      <c r="AW1" s="104"/>
      <c r="AX1" s="104"/>
      <c r="AY1" s="104"/>
      <c r="AZ1" s="104"/>
      <c r="BA1" s="104"/>
      <c r="BB1" s="194"/>
      <c r="BC1" s="194"/>
      <c r="BD1" s="104"/>
      <c r="BE1" s="104"/>
      <c r="BF1" s="194"/>
      <c r="BG1" s="104"/>
    </row>
    <row r="2" spans="1:59" x14ac:dyDescent="0.15">
      <c r="A2" s="195"/>
      <c r="B2" s="195"/>
      <c r="C2" s="195"/>
      <c r="D2" s="195"/>
      <c r="E2" s="196"/>
      <c r="F2" s="195"/>
      <c r="G2" s="195"/>
      <c r="H2" s="195"/>
      <c r="I2" s="195"/>
      <c r="J2" s="195"/>
      <c r="K2" s="195"/>
      <c r="L2" s="195"/>
      <c r="M2" s="195"/>
      <c r="N2" s="196"/>
      <c r="O2" s="196"/>
      <c r="P2" s="195"/>
      <c r="Q2" s="195"/>
      <c r="R2" s="196"/>
      <c r="S2" s="195"/>
      <c r="T2" s="197"/>
      <c r="U2" s="195"/>
      <c r="V2" s="195"/>
      <c r="W2" s="195"/>
      <c r="X2" s="195"/>
      <c r="Y2" s="196"/>
      <c r="Z2" s="195"/>
      <c r="AA2" s="195"/>
      <c r="AB2" s="195"/>
      <c r="AC2" s="195"/>
      <c r="AD2" s="195"/>
      <c r="AE2" s="195"/>
      <c r="AF2" s="195"/>
      <c r="AG2" s="195"/>
      <c r="AH2" s="196"/>
      <c r="AI2" s="196"/>
      <c r="AJ2" s="195"/>
      <c r="AK2" s="195"/>
      <c r="AL2" s="196"/>
      <c r="AM2" s="195"/>
      <c r="AN2" s="197"/>
      <c r="AO2" s="198"/>
      <c r="AP2" s="198"/>
      <c r="AQ2" s="198"/>
      <c r="AR2" s="198"/>
      <c r="AS2" s="199"/>
      <c r="AT2" s="195"/>
      <c r="AU2" s="195"/>
      <c r="AV2" s="195"/>
      <c r="AW2" s="195"/>
      <c r="AX2" s="195"/>
      <c r="AY2" s="195"/>
      <c r="AZ2" s="413">
        <f>【準備】登録!D4</f>
        <v>43765</v>
      </c>
      <c r="BA2" s="414"/>
      <c r="BB2" s="414"/>
      <c r="BC2" s="414"/>
      <c r="BD2" s="414"/>
      <c r="BE2" s="414"/>
      <c r="BF2" s="414"/>
      <c r="BG2" s="414"/>
    </row>
    <row r="3" spans="1:59" s="200" customFormat="1" ht="12.75" thickBot="1" x14ac:dyDescent="0.2">
      <c r="A3" s="415" t="s">
        <v>62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U3" s="415" t="s">
        <v>63</v>
      </c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O3" s="415" t="s">
        <v>64</v>
      </c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</row>
    <row r="4" spans="1:59" s="200" customFormat="1" ht="12.75" thickBot="1" x14ac:dyDescent="0.2">
      <c r="A4" s="409">
        <f>【準備】登録!D9</f>
        <v>1</v>
      </c>
      <c r="B4" s="410"/>
      <c r="C4" s="402" t="s">
        <v>90</v>
      </c>
      <c r="D4" s="403"/>
      <c r="E4" s="201" t="s">
        <v>72</v>
      </c>
      <c r="F4" s="202" t="str">
        <f>$A$5</f>
        <v>WRC</v>
      </c>
      <c r="G4" s="203"/>
      <c r="H4" s="204" t="str">
        <f>$A$6</f>
        <v>NRC</v>
      </c>
      <c r="I4" s="203"/>
      <c r="J4" s="204" t="str">
        <f>$A$7</f>
        <v>SBC</v>
      </c>
      <c r="K4" s="205"/>
      <c r="L4" s="203" t="s">
        <v>31</v>
      </c>
      <c r="M4" s="206" t="s">
        <v>73</v>
      </c>
      <c r="N4" s="407" t="s">
        <v>74</v>
      </c>
      <c r="O4" s="408"/>
      <c r="P4" s="206" t="s">
        <v>74</v>
      </c>
      <c r="Q4" s="207" t="s">
        <v>91</v>
      </c>
      <c r="R4" s="207" t="s">
        <v>85</v>
      </c>
      <c r="S4" s="208" t="s">
        <v>75</v>
      </c>
      <c r="U4" s="409">
        <v>1</v>
      </c>
      <c r="V4" s="410"/>
      <c r="W4" s="402" t="s">
        <v>90</v>
      </c>
      <c r="X4" s="403"/>
      <c r="Y4" s="201" t="str">
        <f>$E$4</f>
        <v>持点</v>
      </c>
      <c r="Z4" s="202" t="str">
        <f>$A$5</f>
        <v>WRC</v>
      </c>
      <c r="AA4" s="203"/>
      <c r="AB4" s="204" t="str">
        <f>$A$6</f>
        <v>NRC</v>
      </c>
      <c r="AC4" s="203"/>
      <c r="AD4" s="204" t="str">
        <f>$A$7</f>
        <v>SBC</v>
      </c>
      <c r="AE4" s="205"/>
      <c r="AF4" s="203" t="s">
        <v>31</v>
      </c>
      <c r="AG4" s="206" t="s">
        <v>73</v>
      </c>
      <c r="AH4" s="407" t="s">
        <v>74</v>
      </c>
      <c r="AI4" s="408"/>
      <c r="AJ4" s="209" t="s">
        <v>74</v>
      </c>
      <c r="AK4" s="207" t="s">
        <v>91</v>
      </c>
      <c r="AL4" s="207" t="s">
        <v>85</v>
      </c>
      <c r="AM4" s="208" t="s">
        <v>75</v>
      </c>
      <c r="AO4" s="409">
        <v>1</v>
      </c>
      <c r="AP4" s="410"/>
      <c r="AQ4" s="402" t="s">
        <v>90</v>
      </c>
      <c r="AR4" s="403"/>
      <c r="AS4" s="210" t="str">
        <f>$E$4</f>
        <v>持点</v>
      </c>
      <c r="AT4" s="202" t="str">
        <f>$A$5</f>
        <v>WRC</v>
      </c>
      <c r="AU4" s="203"/>
      <c r="AV4" s="204" t="str">
        <f>$A$6</f>
        <v>NRC</v>
      </c>
      <c r="AW4" s="203"/>
      <c r="AX4" s="204" t="str">
        <f>$A$7</f>
        <v>SBC</v>
      </c>
      <c r="AY4" s="205"/>
      <c r="AZ4" s="211" t="s">
        <v>31</v>
      </c>
      <c r="BA4" s="212" t="s">
        <v>73</v>
      </c>
      <c r="BB4" s="407" t="s">
        <v>74</v>
      </c>
      <c r="BC4" s="408"/>
      <c r="BD4" s="212" t="s">
        <v>74</v>
      </c>
      <c r="BE4" s="207" t="s">
        <v>91</v>
      </c>
      <c r="BF4" s="207" t="s">
        <v>85</v>
      </c>
      <c r="BG4" s="213" t="s">
        <v>75</v>
      </c>
    </row>
    <row r="5" spans="1:59" s="200" customFormat="1" ht="12.75" thickTop="1" x14ac:dyDescent="0.15">
      <c r="A5" s="393" t="str">
        <f>IF(【準備】登録!$B$11="","",【準備】登録!$B$11)</f>
        <v>WRC</v>
      </c>
      <c r="B5" s="394"/>
      <c r="C5" s="395" t="str">
        <f>【進行】結果入力表!D7</f>
        <v>森田　憲</v>
      </c>
      <c r="D5" s="396"/>
      <c r="E5" s="214">
        <f>【準備】登録!F11</f>
        <v>180</v>
      </c>
      <c r="F5" s="397"/>
      <c r="G5" s="398"/>
      <c r="H5" s="399" t="str">
        <f>IF(【進行】結果入力表!F15="","",【進行】結果入力表!F15)</f>
        <v>w</v>
      </c>
      <c r="I5" s="400"/>
      <c r="J5" s="399">
        <f>IF(【進行】結果入力表!F7="","",【進行】結果入力表!F7)</f>
        <v>154</v>
      </c>
      <c r="K5" s="401"/>
      <c r="L5" s="215">
        <f>IF(J5="","",COUNTIF(F5:K5,"w"))</f>
        <v>1</v>
      </c>
      <c r="M5" s="216">
        <f>IF(J5="","",COUNT(H5,J5))</f>
        <v>1</v>
      </c>
      <c r="N5" s="391">
        <f>SUM(F5:K5)+L5*E5</f>
        <v>334</v>
      </c>
      <c r="O5" s="392"/>
      <c r="P5" s="216">
        <f>IF(J5="","",N5/E5*180)</f>
        <v>334</v>
      </c>
      <c r="Q5" s="217">
        <f>IF(F6="w",180,F6/E5*180)+IF(F7="w",180,F7/E5*180)</f>
        <v>355</v>
      </c>
      <c r="R5" s="217">
        <f>L5*10000000+P5*L10004*10000000+P5*1000-Q5</f>
        <v>10333645</v>
      </c>
      <c r="S5" s="218">
        <f>IF(J5="","",RANK(R5:R7,R5:R7,0))</f>
        <v>2</v>
      </c>
      <c r="U5" s="393" t="str">
        <f>$A$5</f>
        <v>WRC</v>
      </c>
      <c r="V5" s="394"/>
      <c r="W5" s="395" t="str">
        <f>【進行】結果入力表!D39</f>
        <v>大迫　忠典</v>
      </c>
      <c r="X5" s="396"/>
      <c r="Y5" s="214">
        <f>【準備】登録!U11</f>
        <v>180</v>
      </c>
      <c r="Z5" s="397"/>
      <c r="AA5" s="398"/>
      <c r="AB5" s="399">
        <f>IF(【進行】結果入力表!F39="","",【進行】結果入力表!F39)</f>
        <v>116</v>
      </c>
      <c r="AC5" s="400"/>
      <c r="AD5" s="399">
        <f>IF(【進行】結果入力表!F31="","",【進行】結果入力表!F31)</f>
        <v>10</v>
      </c>
      <c r="AE5" s="401"/>
      <c r="AF5" s="215">
        <f>IF(AD5="","",COUNTIF(Z5:AE5,"w"))</f>
        <v>0</v>
      </c>
      <c r="AG5" s="216">
        <f>IF(AD5="","",COUNT(AB5,AD5))</f>
        <v>2</v>
      </c>
      <c r="AH5" s="391">
        <f>SUM(Z5:AE5)+AF5*Y5</f>
        <v>126</v>
      </c>
      <c r="AI5" s="392"/>
      <c r="AJ5" s="219">
        <f>IF(AD5="","",AH5/Y5*180)</f>
        <v>125.99999999999999</v>
      </c>
      <c r="AK5" s="217">
        <f>IF(Z6="w",180,Z6/Y5*180)+IF(Z7="w",180,Z7/Y5*180)</f>
        <v>360</v>
      </c>
      <c r="AL5" s="217">
        <f>AF5*10000000+AJ5*AF10004*10000000+AJ5*1000-AK5</f>
        <v>125639.99999999999</v>
      </c>
      <c r="AM5" s="218">
        <f>IF(AD5="","",RANK(AL5:AL7,AL5:AL7,0))</f>
        <v>3</v>
      </c>
      <c r="AO5" s="393" t="str">
        <f>$A$5</f>
        <v>WRC</v>
      </c>
      <c r="AP5" s="394"/>
      <c r="AQ5" s="395" t="str">
        <f>【進行】結果入力表!D63</f>
        <v>末岡　修</v>
      </c>
      <c r="AR5" s="396"/>
      <c r="AS5" s="220">
        <f>【準備】登録!O11</f>
        <v>180</v>
      </c>
      <c r="AT5" s="397"/>
      <c r="AU5" s="398"/>
      <c r="AV5" s="399" t="str">
        <f>IF(【進行】結果入力表!F63="","",【進行】結果入力表!F63)</f>
        <v>w</v>
      </c>
      <c r="AW5" s="400"/>
      <c r="AX5" s="399">
        <f>IF(【進行】結果入力表!F55="","",【進行】結果入力表!F55)</f>
        <v>114</v>
      </c>
      <c r="AY5" s="401"/>
      <c r="AZ5" s="221">
        <f>IF(AX5="","",COUNTIF(AT5:AY5,"w"))</f>
        <v>1</v>
      </c>
      <c r="BA5" s="222">
        <f>IF(AX5="","",COUNT(AV5,AX5))</f>
        <v>1</v>
      </c>
      <c r="BB5" s="391">
        <f>SUM(AT5:AY5)+AZ5*AS5</f>
        <v>294</v>
      </c>
      <c r="BC5" s="392"/>
      <c r="BD5" s="223">
        <f>IF(AX5="","",BB5/AS5*180)</f>
        <v>294</v>
      </c>
      <c r="BE5" s="217">
        <f>IF(AT6="w",180,AT6/AS5*180)+IF(AT7="w",180,AT7/AS5*180)</f>
        <v>311</v>
      </c>
      <c r="BF5" s="217">
        <f>AZ5*10000000+BD5*AZ10004*10000000+BD5*1000-BE5</f>
        <v>10293689</v>
      </c>
      <c r="BG5" s="224">
        <f>IF(AX5="","",RANK(BF5:BF7,BF5:BF7,0))</f>
        <v>2</v>
      </c>
    </row>
    <row r="6" spans="1:59" s="200" customFormat="1" ht="12" x14ac:dyDescent="0.15">
      <c r="A6" s="385" t="str">
        <f>IF(【準備】登録!$B$12="","",【準備】登録!$B$12)</f>
        <v>NRC</v>
      </c>
      <c r="B6" s="386"/>
      <c r="C6" s="387" t="str">
        <f>【進行】結果入力表!I15</f>
        <v>白戸　玲人</v>
      </c>
      <c r="D6" s="388"/>
      <c r="E6" s="225">
        <f>【準備】登録!F12</f>
        <v>180</v>
      </c>
      <c r="F6" s="389">
        <f>IF(【進行】結果入力表!G15="","",【進行】結果入力表!G15)</f>
        <v>175</v>
      </c>
      <c r="G6" s="390"/>
      <c r="H6" s="379"/>
      <c r="I6" s="380"/>
      <c r="J6" s="381">
        <f>IF(【進行】結果入力表!F23="","",【進行】結果入力表!F23)</f>
        <v>78</v>
      </c>
      <c r="K6" s="382"/>
      <c r="L6" s="226">
        <f>IF(J5="","",COUNTIF(F6:K6,"w"))</f>
        <v>0</v>
      </c>
      <c r="M6" s="227">
        <f>IF(J5="","",COUNT(F6,J6))</f>
        <v>2</v>
      </c>
      <c r="N6" s="383">
        <f>SUM(F6:K6)+L6*E6</f>
        <v>253</v>
      </c>
      <c r="O6" s="384"/>
      <c r="P6" s="227">
        <f>IF(J5="","",N6/E6*180)</f>
        <v>252.99999999999997</v>
      </c>
      <c r="Q6" s="228">
        <f>IF(H5="w",180,H5/E6*180)+IF(H7="w",180,H7/E6*180)</f>
        <v>360</v>
      </c>
      <c r="R6" s="228">
        <f>L6*10000000+P6*L10005*10000000+P6*1000-Q6</f>
        <v>252639.99999999997</v>
      </c>
      <c r="S6" s="229">
        <f>IF(J5="","",RANK(R5:R7,R5:R7,0))</f>
        <v>3</v>
      </c>
      <c r="U6" s="385" t="str">
        <f>$A$6</f>
        <v>NRC</v>
      </c>
      <c r="V6" s="386"/>
      <c r="W6" s="387" t="str">
        <f>【進行】結果入力表!I39</f>
        <v>白戸　恭子</v>
      </c>
      <c r="X6" s="388"/>
      <c r="Y6" s="225">
        <f>【準備】登録!X12</f>
        <v>140</v>
      </c>
      <c r="Z6" s="389" t="str">
        <f>IF(【進行】結果入力表!G39="","",【進行】結果入力表!G39)</f>
        <v>w</v>
      </c>
      <c r="AA6" s="390"/>
      <c r="AB6" s="379"/>
      <c r="AC6" s="380"/>
      <c r="AD6" s="381">
        <f>IF(【進行】結果入力表!F47="","",【進行】結果入力表!F47)</f>
        <v>24</v>
      </c>
      <c r="AE6" s="382"/>
      <c r="AF6" s="226">
        <f>IF(AD5="","",COUNTIF(Z6:AE6,"w"))</f>
        <v>1</v>
      </c>
      <c r="AG6" s="227">
        <f>IF(AD5="","",COUNT(Z6,AD6))</f>
        <v>1</v>
      </c>
      <c r="AH6" s="383">
        <f>SUM(Z6:AE6)+AF6*Y6</f>
        <v>164</v>
      </c>
      <c r="AI6" s="384"/>
      <c r="AJ6" s="230">
        <f>IF(AD5="","",AH6/Y6*180)</f>
        <v>210.85714285714286</v>
      </c>
      <c r="AK6" s="228">
        <f>IF(AB5="w",180,AB5/Y6*180)+IF(AB7="w",180,AB7/Y6*180)</f>
        <v>329.14285714285711</v>
      </c>
      <c r="AL6" s="228">
        <f>AF6*10000000+AJ6*AF10005*10000000+AJ6*1000-AK6</f>
        <v>10210528</v>
      </c>
      <c r="AM6" s="229">
        <f>IF(AD5="","",RANK(AL5:AL7,AL5:AL7,0))</f>
        <v>2</v>
      </c>
      <c r="AO6" s="385" t="str">
        <f>$A$6</f>
        <v>NRC</v>
      </c>
      <c r="AP6" s="386"/>
      <c r="AQ6" s="387" t="str">
        <f>【進行】結果入力表!I63</f>
        <v>長谷川　進</v>
      </c>
      <c r="AR6" s="388"/>
      <c r="AS6" s="231">
        <f>【準備】登録!U12</f>
        <v>180</v>
      </c>
      <c r="AT6" s="389">
        <f>IF(【進行】結果入力表!G63="","",【進行】結果入力表!G63)</f>
        <v>131</v>
      </c>
      <c r="AU6" s="390"/>
      <c r="AV6" s="379"/>
      <c r="AW6" s="380"/>
      <c r="AX6" s="381">
        <f>IF(【進行】結果入力表!F71="","",【進行】結果入力表!F71)</f>
        <v>82</v>
      </c>
      <c r="AY6" s="382"/>
      <c r="AZ6" s="232">
        <f>IF(AX5="","",COUNTIF(AT6:AY6,"w"))</f>
        <v>0</v>
      </c>
      <c r="BA6" s="233">
        <f>IF(AX5="","",COUNT(AT6,AX6))</f>
        <v>2</v>
      </c>
      <c r="BB6" s="383">
        <f>SUM(AT6:AY6)+AZ6*AS6</f>
        <v>213</v>
      </c>
      <c r="BC6" s="384"/>
      <c r="BD6" s="234">
        <f>IF(AX5="","",BB6/AS6*180)</f>
        <v>213</v>
      </c>
      <c r="BE6" s="228">
        <f>IF(AV5="w",180,AV5/AS6*180)+IF(AV7="w",180,AV7/AS6*180)</f>
        <v>360</v>
      </c>
      <c r="BF6" s="228">
        <f>AZ6*10000000+BD6*AZ10005*10000000+BD6*1000-BE6</f>
        <v>212640</v>
      </c>
      <c r="BG6" s="235">
        <f>IF(AX5="","",RANK(BF5:BF7,BF5:BF7,0))</f>
        <v>3</v>
      </c>
    </row>
    <row r="7" spans="1:59" s="200" customFormat="1" ht="12.75" thickBot="1" x14ac:dyDescent="0.2">
      <c r="A7" s="377" t="str">
        <f>IF(【準備】登録!$B$13="","",【準備】登録!$B$13)</f>
        <v>SBC</v>
      </c>
      <c r="B7" s="378"/>
      <c r="C7" s="368" t="str">
        <f>【進行】結果入力表!I7</f>
        <v>大橋　義治</v>
      </c>
      <c r="D7" s="369"/>
      <c r="E7" s="236">
        <f>【準備】登録!F13</f>
        <v>180</v>
      </c>
      <c r="F7" s="370" t="str">
        <f>IF(【進行】結果入力表!G7="","",【進行】結果入力表!G7)</f>
        <v>w</v>
      </c>
      <c r="G7" s="371"/>
      <c r="H7" s="372" t="str">
        <f>IF(【進行】結果入力表!G23="","",【進行】結果入力表!G23)</f>
        <v>w</v>
      </c>
      <c r="I7" s="371"/>
      <c r="J7" s="373"/>
      <c r="K7" s="374"/>
      <c r="L7" s="237">
        <f>IF(J5="","",COUNTIF(F7:K7,"w"))</f>
        <v>2</v>
      </c>
      <c r="M7" s="238">
        <f>IF(J5="","",COUNT(F7,H7))</f>
        <v>0</v>
      </c>
      <c r="N7" s="375">
        <f>SUM(F7:K7)+L7*E7</f>
        <v>360</v>
      </c>
      <c r="O7" s="376"/>
      <c r="P7" s="238">
        <f>IF(J5="","",N7/E7*180)</f>
        <v>360</v>
      </c>
      <c r="Q7" s="239">
        <f>IF(J5="w",180,J5/E7*180)+IF(J6="w",180,J6/E7*180)</f>
        <v>232</v>
      </c>
      <c r="R7" s="239">
        <f>L7*10000000+P7*L10006*10000000+P7*1000-Q7</f>
        <v>20359768</v>
      </c>
      <c r="S7" s="240">
        <f>IF(J5="","",RANK(R5:R7,R5:R7,0))</f>
        <v>1</v>
      </c>
      <c r="U7" s="377" t="str">
        <f>$A$7</f>
        <v>SBC</v>
      </c>
      <c r="V7" s="378"/>
      <c r="W7" s="368" t="str">
        <f>【進行】結果入力表!I31</f>
        <v>大橋　義治</v>
      </c>
      <c r="X7" s="369"/>
      <c r="Y7" s="236">
        <f>【準備】登録!F13</f>
        <v>180</v>
      </c>
      <c r="Z7" s="370" t="str">
        <f>IF(【進行】結果入力表!G31="","",【進行】結果入力表!G31)</f>
        <v>w</v>
      </c>
      <c r="AA7" s="371"/>
      <c r="AB7" s="372" t="str">
        <f>IF(【進行】結果入力表!G47="","",【進行】結果入力表!G47)</f>
        <v>w</v>
      </c>
      <c r="AC7" s="371"/>
      <c r="AD7" s="373"/>
      <c r="AE7" s="374"/>
      <c r="AF7" s="237">
        <f>IF(AD5="","",COUNTIF(Z7:AE7,"w"))</f>
        <v>2</v>
      </c>
      <c r="AG7" s="238">
        <f>IF(AD5="","",COUNT(Z7,AB7))</f>
        <v>0</v>
      </c>
      <c r="AH7" s="375">
        <f>SUM(Z7:AE7)+AF7*Y7</f>
        <v>360</v>
      </c>
      <c r="AI7" s="376"/>
      <c r="AJ7" s="241">
        <f>IF(AD5="","",AH7/Y7*180)</f>
        <v>360</v>
      </c>
      <c r="AK7" s="239">
        <f>IF(AD5="w",180,AD5/Y7*180)+IF(AD6="w",180,AD6/Y7*180)</f>
        <v>34</v>
      </c>
      <c r="AL7" s="239">
        <f>AF7*10000000+AJ7*AF10006*10000000+AJ7*1000-AK7</f>
        <v>20359966</v>
      </c>
      <c r="AM7" s="240">
        <f>IF(AD5="","",RANK(AL5:AL7,AL5:AL7,0))</f>
        <v>1</v>
      </c>
      <c r="AO7" s="377" t="str">
        <f>$A$7</f>
        <v>SBC</v>
      </c>
      <c r="AP7" s="378"/>
      <c r="AQ7" s="368" t="str">
        <f>【進行】結果入力表!I55</f>
        <v>大橋　義治</v>
      </c>
      <c r="AR7" s="369"/>
      <c r="AS7" s="242">
        <f>【準備】登録!F13</f>
        <v>180</v>
      </c>
      <c r="AT7" s="370" t="str">
        <f>IF(【進行】結果入力表!G55="","",【進行】結果入力表!G55)</f>
        <v>w</v>
      </c>
      <c r="AU7" s="371"/>
      <c r="AV7" s="372" t="str">
        <f>IF(【進行】結果入力表!G71="","",【進行】結果入力表!G71)</f>
        <v>w</v>
      </c>
      <c r="AW7" s="371"/>
      <c r="AX7" s="373"/>
      <c r="AY7" s="374"/>
      <c r="AZ7" s="243">
        <f>IF(AX5="","",COUNTIF(AT7:AY7,"w"))</f>
        <v>2</v>
      </c>
      <c r="BA7" s="244">
        <f>IF(AX5="","",COUNT(AT7,AV7))</f>
        <v>0</v>
      </c>
      <c r="BB7" s="375">
        <f>SUM(AT7:AY7)+AZ7*AS7</f>
        <v>360</v>
      </c>
      <c r="BC7" s="376"/>
      <c r="BD7" s="245">
        <f>IF(AX5="","",BB7/AS7*180)</f>
        <v>360</v>
      </c>
      <c r="BE7" s="239">
        <f>IF(AX5="w",180,AX5/AS7*180)+IF(AX6="w",180,AX6/AS7*180)</f>
        <v>196</v>
      </c>
      <c r="BF7" s="239">
        <f>AZ7*10000000+BD7*AZ10006*10000000+BD7*1000-BE7</f>
        <v>20359804</v>
      </c>
      <c r="BG7" s="246">
        <f>IF(AX5="","",RANK(BF5:BF7,BF5:BF7,0))</f>
        <v>1</v>
      </c>
    </row>
    <row r="8" spans="1:59" s="200" customFormat="1" ht="8.25" customHeight="1" thickBot="1" x14ac:dyDescent="0.2">
      <c r="A8" s="247"/>
      <c r="B8" s="247"/>
      <c r="C8" s="247"/>
      <c r="D8" s="247"/>
      <c r="E8" s="248"/>
      <c r="F8" s="247"/>
      <c r="G8" s="247"/>
      <c r="H8" s="247"/>
      <c r="I8" s="247"/>
      <c r="J8" s="247"/>
      <c r="K8" s="247"/>
      <c r="L8" s="247"/>
      <c r="M8" s="247"/>
      <c r="N8" s="248"/>
      <c r="O8" s="248"/>
      <c r="P8" s="247"/>
      <c r="Q8" s="247"/>
      <c r="R8" s="248"/>
      <c r="S8" s="247"/>
      <c r="U8" s="247"/>
      <c r="V8" s="247"/>
      <c r="W8" s="247"/>
      <c r="X8" s="247"/>
      <c r="Y8" s="248"/>
      <c r="Z8" s="247"/>
      <c r="AA8" s="247"/>
      <c r="AB8" s="247"/>
      <c r="AC8" s="247"/>
      <c r="AD8" s="247"/>
      <c r="AE8" s="247"/>
      <c r="AF8" s="247"/>
      <c r="AG8" s="247"/>
      <c r="AH8" s="248"/>
      <c r="AI8" s="248"/>
      <c r="AJ8" s="249"/>
      <c r="AK8" s="247"/>
      <c r="AL8" s="248"/>
      <c r="AM8" s="247"/>
      <c r="AO8" s="250"/>
      <c r="AP8" s="250"/>
      <c r="AQ8" s="250"/>
      <c r="AR8" s="250"/>
      <c r="AS8" s="251"/>
      <c r="AT8" s="247"/>
      <c r="AU8" s="247"/>
      <c r="AV8" s="247"/>
      <c r="AW8" s="247"/>
      <c r="AX8" s="247"/>
      <c r="AY8" s="247"/>
      <c r="AZ8" s="250"/>
      <c r="BA8" s="250"/>
      <c r="BB8" s="251"/>
      <c r="BC8" s="251"/>
      <c r="BD8" s="250"/>
      <c r="BE8" s="247"/>
      <c r="BF8" s="248"/>
      <c r="BG8" s="252"/>
    </row>
    <row r="9" spans="1:59" s="200" customFormat="1" ht="12.75" thickBot="1" x14ac:dyDescent="0.2">
      <c r="A9" s="409">
        <v>2</v>
      </c>
      <c r="B9" s="410"/>
      <c r="C9" s="402" t="s">
        <v>90</v>
      </c>
      <c r="D9" s="403"/>
      <c r="E9" s="201" t="str">
        <f>$E$4</f>
        <v>持点</v>
      </c>
      <c r="F9" s="202" t="str">
        <f>$A$5</f>
        <v>WRC</v>
      </c>
      <c r="G9" s="203"/>
      <c r="H9" s="204" t="str">
        <f>$A$6</f>
        <v>NRC</v>
      </c>
      <c r="I9" s="203"/>
      <c r="J9" s="204" t="str">
        <f>$A$7</f>
        <v>SBC</v>
      </c>
      <c r="K9" s="205"/>
      <c r="L9" s="203" t="s">
        <v>31</v>
      </c>
      <c r="M9" s="206" t="s">
        <v>73</v>
      </c>
      <c r="N9" s="407" t="s">
        <v>74</v>
      </c>
      <c r="O9" s="408"/>
      <c r="P9" s="206" t="s">
        <v>74</v>
      </c>
      <c r="Q9" s="207" t="s">
        <v>91</v>
      </c>
      <c r="R9" s="207" t="s">
        <v>85</v>
      </c>
      <c r="S9" s="208" t="s">
        <v>75</v>
      </c>
      <c r="U9" s="409">
        <v>2</v>
      </c>
      <c r="V9" s="410"/>
      <c r="W9" s="402" t="s">
        <v>90</v>
      </c>
      <c r="X9" s="403"/>
      <c r="Y9" s="201" t="str">
        <f>$E$4</f>
        <v>持点</v>
      </c>
      <c r="Z9" s="202" t="str">
        <f>$A$5</f>
        <v>WRC</v>
      </c>
      <c r="AA9" s="203"/>
      <c r="AB9" s="204" t="str">
        <f>$A$6</f>
        <v>NRC</v>
      </c>
      <c r="AC9" s="203"/>
      <c r="AD9" s="204" t="str">
        <f>$A$7</f>
        <v>SBC</v>
      </c>
      <c r="AE9" s="205"/>
      <c r="AF9" s="203" t="s">
        <v>31</v>
      </c>
      <c r="AG9" s="206" t="s">
        <v>73</v>
      </c>
      <c r="AH9" s="407" t="s">
        <v>74</v>
      </c>
      <c r="AI9" s="408"/>
      <c r="AJ9" s="209" t="s">
        <v>74</v>
      </c>
      <c r="AK9" s="207" t="s">
        <v>91</v>
      </c>
      <c r="AL9" s="207" t="s">
        <v>85</v>
      </c>
      <c r="AM9" s="208" t="s">
        <v>75</v>
      </c>
      <c r="AO9" s="409">
        <v>2</v>
      </c>
      <c r="AP9" s="410"/>
      <c r="AQ9" s="402" t="s">
        <v>90</v>
      </c>
      <c r="AR9" s="403"/>
      <c r="AS9" s="210" t="str">
        <f>$E$4</f>
        <v>持点</v>
      </c>
      <c r="AT9" s="202" t="str">
        <f>$A$5</f>
        <v>WRC</v>
      </c>
      <c r="AU9" s="203"/>
      <c r="AV9" s="204" t="str">
        <f>$A$6</f>
        <v>NRC</v>
      </c>
      <c r="AW9" s="203"/>
      <c r="AX9" s="204" t="str">
        <f>$A$7</f>
        <v>SBC</v>
      </c>
      <c r="AY9" s="205"/>
      <c r="AZ9" s="211" t="s">
        <v>31</v>
      </c>
      <c r="BA9" s="212" t="s">
        <v>73</v>
      </c>
      <c r="BB9" s="407" t="s">
        <v>74</v>
      </c>
      <c r="BC9" s="408"/>
      <c r="BD9" s="212" t="s">
        <v>74</v>
      </c>
      <c r="BE9" s="207" t="s">
        <v>91</v>
      </c>
      <c r="BF9" s="207" t="s">
        <v>85</v>
      </c>
      <c r="BG9" s="213" t="s">
        <v>75</v>
      </c>
    </row>
    <row r="10" spans="1:59" s="200" customFormat="1" ht="12.75" thickTop="1" x14ac:dyDescent="0.15">
      <c r="A10" s="393" t="str">
        <f>$A$5</f>
        <v>WRC</v>
      </c>
      <c r="B10" s="394"/>
      <c r="C10" s="395" t="str">
        <f>【進行】結果入力表!D8</f>
        <v>和田　宗一郎</v>
      </c>
      <c r="D10" s="396"/>
      <c r="E10" s="214">
        <f>【準備】登録!I11</f>
        <v>180</v>
      </c>
      <c r="F10" s="397"/>
      <c r="G10" s="398"/>
      <c r="H10" s="399">
        <f>IF(【進行】結果入力表!F16="","",【進行】結果入力表!F16)</f>
        <v>31</v>
      </c>
      <c r="I10" s="400"/>
      <c r="J10" s="399">
        <f>IF(【進行】結果入力表!F8="","",【進行】結果入力表!F8)</f>
        <v>115</v>
      </c>
      <c r="K10" s="401"/>
      <c r="L10" s="215">
        <f>IF(J10="","",COUNTIF(F10:K10,"w"))</f>
        <v>0</v>
      </c>
      <c r="M10" s="216">
        <f>IF(J10="","",COUNT(H10,J10))</f>
        <v>2</v>
      </c>
      <c r="N10" s="391">
        <f>SUM(F10:K10)+L10*E10</f>
        <v>146</v>
      </c>
      <c r="O10" s="392"/>
      <c r="P10" s="216">
        <f>IF(J10="","",N10/E10*180)</f>
        <v>146</v>
      </c>
      <c r="Q10" s="217">
        <f>IF(F11="w",180,F11/E10*180)+IF(F12="w",180,F12/E10*180)</f>
        <v>360</v>
      </c>
      <c r="R10" s="217">
        <f>L10*10000000+P10*L10009*10000000+P10*1000-Q10</f>
        <v>145640</v>
      </c>
      <c r="S10" s="218">
        <f>IF(J10="","",RANK(R10:R12,R10:R12,0))</f>
        <v>3</v>
      </c>
      <c r="U10" s="393" t="str">
        <f>$A$5</f>
        <v>WRC</v>
      </c>
      <c r="V10" s="394"/>
      <c r="W10" s="395" t="str">
        <f>【進行】結果入力表!D40</f>
        <v>松房　ゆかり</v>
      </c>
      <c r="X10" s="396"/>
      <c r="Y10" s="214">
        <f>【準備】登録!X11</f>
        <v>140</v>
      </c>
      <c r="Z10" s="397"/>
      <c r="AA10" s="398"/>
      <c r="AB10" s="399">
        <f>IF(【進行】結果入力表!F40="","",【進行】結果入力表!F40)</f>
        <v>52</v>
      </c>
      <c r="AC10" s="400"/>
      <c r="AD10" s="399" t="str">
        <f>IF(【進行】結果入力表!F32="","",【進行】結果入力表!F32)</f>
        <v>w</v>
      </c>
      <c r="AE10" s="401"/>
      <c r="AF10" s="215">
        <f>IF(AD10="","",COUNTIF(Z10:AE10,"w"))</f>
        <v>1</v>
      </c>
      <c r="AG10" s="216">
        <f>IF(AD10="","",COUNT(AB10,AD10))</f>
        <v>1</v>
      </c>
      <c r="AH10" s="391">
        <f>SUM(Z10:AE10)+AF10*Y10</f>
        <v>192</v>
      </c>
      <c r="AI10" s="392"/>
      <c r="AJ10" s="219">
        <f>IF(AD10="","",AH10/Y10*180)</f>
        <v>246.85714285714286</v>
      </c>
      <c r="AK10" s="217">
        <f>IF(Z11="w",180,Z11/Y10*180)+IF(Z12="w",180,Z12/Y10*180)</f>
        <v>312.42857142857144</v>
      </c>
      <c r="AL10" s="253">
        <f>AF10*10000000+AJ10*AF10009*10000000+AJ10*1000-AK10</f>
        <v>10246544.714285715</v>
      </c>
      <c r="AM10" s="218">
        <f>IF(AD10="","",RANK(AL10:AL12,AL10:AL12,0))</f>
        <v>3</v>
      </c>
      <c r="AO10" s="393" t="str">
        <f>$A$5</f>
        <v>WRC</v>
      </c>
      <c r="AP10" s="394"/>
      <c r="AQ10" s="395" t="str">
        <f>【進行】結果入力表!D64</f>
        <v>中本　雅大</v>
      </c>
      <c r="AR10" s="396"/>
      <c r="AS10" s="220">
        <f>【準備】登録!R11</f>
        <v>180</v>
      </c>
      <c r="AT10" s="397"/>
      <c r="AU10" s="398"/>
      <c r="AV10" s="399">
        <f>IF(【進行】結果入力表!F64="","",【進行】結果入力表!F64)</f>
        <v>39</v>
      </c>
      <c r="AW10" s="400"/>
      <c r="AX10" s="399">
        <f>IF(【進行】結果入力表!F56="","",【進行】結果入力表!F56)</f>
        <v>120</v>
      </c>
      <c r="AY10" s="401"/>
      <c r="AZ10" s="221">
        <f>IF(AX10="","",COUNTIF(AT10:AY10,"w"))</f>
        <v>0</v>
      </c>
      <c r="BA10" s="222">
        <f>IF(AX10="","",COUNT(AV10,AX10))</f>
        <v>2</v>
      </c>
      <c r="BB10" s="391">
        <f>SUM(AT10:AY10)+AZ10*AS10</f>
        <v>159</v>
      </c>
      <c r="BC10" s="392"/>
      <c r="BD10" s="223">
        <f>IF(AX10="","",BB10/AS10*180)</f>
        <v>159</v>
      </c>
      <c r="BE10" s="217">
        <f>IF(AT11="w",180,AT11/AS10*180)+IF(AT12="w",180,AT12/AS10*180)</f>
        <v>360</v>
      </c>
      <c r="BF10" s="217">
        <f>AZ10*10000000+BD10*AZ10009*10000000+BD10*1000-BE10</f>
        <v>158640</v>
      </c>
      <c r="BG10" s="224">
        <f>IF(AX10="","",RANK(BF10:BF12,BF10:BF12,0))</f>
        <v>3</v>
      </c>
    </row>
    <row r="11" spans="1:59" s="200" customFormat="1" ht="12" x14ac:dyDescent="0.15">
      <c r="A11" s="385" t="str">
        <f>$A$6</f>
        <v>NRC</v>
      </c>
      <c r="B11" s="386"/>
      <c r="C11" s="387" t="str">
        <f>【進行】結果入力表!I16</f>
        <v>吉向　翔平</v>
      </c>
      <c r="D11" s="388"/>
      <c r="E11" s="225">
        <f>【準備】登録!I12</f>
        <v>180</v>
      </c>
      <c r="F11" s="389" t="str">
        <f>IF(【進行】結果入力表!G16="","",【進行】結果入力表!G16)</f>
        <v>w</v>
      </c>
      <c r="G11" s="390"/>
      <c r="H11" s="379"/>
      <c r="I11" s="380"/>
      <c r="J11" s="381" t="str">
        <f>IF(【進行】結果入力表!F24="","",【進行】結果入力表!F24)</f>
        <v>w</v>
      </c>
      <c r="K11" s="382"/>
      <c r="L11" s="226">
        <f>IF(J10="","",COUNTIF(F11:K11,"w"))</f>
        <v>2</v>
      </c>
      <c r="M11" s="227">
        <f>IF(J10="","",COUNT(F11,J11))</f>
        <v>0</v>
      </c>
      <c r="N11" s="383">
        <f>SUM(F11:K11)+L11*E11</f>
        <v>360</v>
      </c>
      <c r="O11" s="384"/>
      <c r="P11" s="227">
        <f>IF(J10="","",N11/E11*180)</f>
        <v>360</v>
      </c>
      <c r="Q11" s="228">
        <f>IF(H10="w",180,H10/E11*180)+IF(H12="w",180,H12/E11*180)</f>
        <v>184</v>
      </c>
      <c r="R11" s="228">
        <f>L11*10000000+P11*L10010*10000000+P11*1000-Q11</f>
        <v>20359816</v>
      </c>
      <c r="S11" s="229">
        <f>IF(J10="","",RANK(R10:R12,R10:R12,0))</f>
        <v>1</v>
      </c>
      <c r="U11" s="385" t="str">
        <f>$A$6</f>
        <v>NRC</v>
      </c>
      <c r="V11" s="386"/>
      <c r="W11" s="387" t="str">
        <f>【進行】結果入力表!I40</f>
        <v>白戸　玲人</v>
      </c>
      <c r="X11" s="388"/>
      <c r="Y11" s="225">
        <f>【準備】登録!F12</f>
        <v>180</v>
      </c>
      <c r="Z11" s="389" t="str">
        <f>IF(【進行】結果入力表!G40="","",【進行】結果入力表!G40)</f>
        <v>w</v>
      </c>
      <c r="AA11" s="390"/>
      <c r="AB11" s="379"/>
      <c r="AC11" s="380"/>
      <c r="AD11" s="381">
        <f>IF(【進行】結果入力表!F48="","",【進行】結果入力表!F48)</f>
        <v>67</v>
      </c>
      <c r="AE11" s="382"/>
      <c r="AF11" s="226">
        <f>IF(AD10="","",COUNTIF(Z11:AE11,"w"))</f>
        <v>1</v>
      </c>
      <c r="AG11" s="227">
        <f>IF(AD10="","",COUNT(Z11,AD11))</f>
        <v>1</v>
      </c>
      <c r="AH11" s="383">
        <f>SUM(Z11:AE11)+AF11*Y11</f>
        <v>247</v>
      </c>
      <c r="AI11" s="384"/>
      <c r="AJ11" s="230">
        <f>IF(AD10="","",AH11/Y11*180)</f>
        <v>247</v>
      </c>
      <c r="AK11" s="228">
        <f>IF(AB10="w",180,AB10/Y11*180)+IF(AB12="w",180,AB12/Y11*180)</f>
        <v>232</v>
      </c>
      <c r="AL11" s="228">
        <f>AF11*10000000+AJ11*AF10010*10000000+AJ11*1000-AK11</f>
        <v>10246768</v>
      </c>
      <c r="AM11" s="229">
        <f>IF(AD10="","",RANK(AL10:AL12,AL10:AL12,0))</f>
        <v>2</v>
      </c>
      <c r="AO11" s="385" t="str">
        <f>$A$6</f>
        <v>NRC</v>
      </c>
      <c r="AP11" s="386"/>
      <c r="AQ11" s="387" t="str">
        <f>【進行】結果入力表!I64</f>
        <v>白戸　恭子</v>
      </c>
      <c r="AR11" s="388"/>
      <c r="AS11" s="231">
        <f>【準備】登録!X12</f>
        <v>140</v>
      </c>
      <c r="AT11" s="389" t="str">
        <f>IF(【進行】結果入力表!G64="","",【進行】結果入力表!G64)</f>
        <v>w</v>
      </c>
      <c r="AU11" s="390"/>
      <c r="AV11" s="379"/>
      <c r="AW11" s="380"/>
      <c r="AX11" s="381">
        <f>IF(【進行】結果入力表!F72="","",【進行】結果入力表!F72)</f>
        <v>49</v>
      </c>
      <c r="AY11" s="382"/>
      <c r="AZ11" s="232">
        <f>IF(AX10="","",COUNTIF(AT11:AY11,"w"))</f>
        <v>1</v>
      </c>
      <c r="BA11" s="233">
        <f>IF(AX10="","",COUNT(AT11,AX11))</f>
        <v>1</v>
      </c>
      <c r="BB11" s="383">
        <f>SUM(AT11:AY11)+AZ11*AS11</f>
        <v>189</v>
      </c>
      <c r="BC11" s="384"/>
      <c r="BD11" s="234">
        <f>IF(AX10="","",BB11/AS11*180)</f>
        <v>243.00000000000003</v>
      </c>
      <c r="BE11" s="228">
        <f>IF(AV10="w",180,AV10/AS11*180)+IF(AV12="w",180,AV12/AS11*180)</f>
        <v>230.14285714285714</v>
      </c>
      <c r="BF11" s="228">
        <f>AZ11*10000000+BD11*AZ10010*10000000+BD11*1000-BE11</f>
        <v>10242769.857142856</v>
      </c>
      <c r="BG11" s="235">
        <f>IF(AX10="","",RANK(BF10:BF12,BF10:BF12,0))</f>
        <v>2</v>
      </c>
    </row>
    <row r="12" spans="1:59" s="200" customFormat="1" ht="12.75" thickBot="1" x14ac:dyDescent="0.2">
      <c r="A12" s="377" t="str">
        <f>$A$7</f>
        <v>SBC</v>
      </c>
      <c r="B12" s="378"/>
      <c r="C12" s="368" t="str">
        <f>【進行】結果入力表!I8</f>
        <v>林　秀忠</v>
      </c>
      <c r="D12" s="369"/>
      <c r="E12" s="236">
        <f>【準備】登録!I13</f>
        <v>180</v>
      </c>
      <c r="F12" s="370" t="str">
        <f>IF(【進行】結果入力表!G8="","",【進行】結果入力表!G8)</f>
        <v>w</v>
      </c>
      <c r="G12" s="371"/>
      <c r="H12" s="372">
        <f>IF(【進行】結果入力表!G24="","",【進行】結果入力表!G24)</f>
        <v>153</v>
      </c>
      <c r="I12" s="371"/>
      <c r="J12" s="373"/>
      <c r="K12" s="374"/>
      <c r="L12" s="237">
        <f>IF(J10="","",COUNTIF(F12:K12,"w"))</f>
        <v>1</v>
      </c>
      <c r="M12" s="238">
        <f>IF(J10="","",COUNT(F12,H12))</f>
        <v>1</v>
      </c>
      <c r="N12" s="375">
        <f>SUM(F12:K12)+L12*E12</f>
        <v>333</v>
      </c>
      <c r="O12" s="376"/>
      <c r="P12" s="238">
        <f>IF(J10="","",N12/E12*180)</f>
        <v>333</v>
      </c>
      <c r="Q12" s="239">
        <f>IF(J10="w",180,J10/E12*180)+IF(J11="w",180,J11/E12*180)</f>
        <v>295</v>
      </c>
      <c r="R12" s="239">
        <f>L12*10000000+P12*L10011*10000000+P12*1000-Q12</f>
        <v>10332705</v>
      </c>
      <c r="S12" s="240">
        <f>IF(J10="","",RANK(R10:R12,R10:R12,0))</f>
        <v>2</v>
      </c>
      <c r="U12" s="377" t="str">
        <f>$A$7</f>
        <v>SBC</v>
      </c>
      <c r="V12" s="378"/>
      <c r="W12" s="368" t="str">
        <f>【進行】結果入力表!I32</f>
        <v>林　秀忠</v>
      </c>
      <c r="X12" s="369"/>
      <c r="Y12" s="236">
        <f>【準備】登録!I13</f>
        <v>180</v>
      </c>
      <c r="Z12" s="370">
        <f>IF(【進行】結果入力表!G32="","",【進行】結果入力表!G32)</f>
        <v>103</v>
      </c>
      <c r="AA12" s="371"/>
      <c r="AB12" s="372" t="str">
        <f>IF(【進行】結果入力表!G48="","",【進行】結果入力表!G48)</f>
        <v>w</v>
      </c>
      <c r="AC12" s="371"/>
      <c r="AD12" s="373"/>
      <c r="AE12" s="374"/>
      <c r="AF12" s="237">
        <f>IF(AD10="","",COUNTIF(Z12:AE12,"w"))</f>
        <v>1</v>
      </c>
      <c r="AG12" s="238">
        <f>IF(AD10="","",COUNT(Z12,AB12))</f>
        <v>1</v>
      </c>
      <c r="AH12" s="375">
        <f>SUM(Z12:AE12)+AF12*Y12</f>
        <v>283</v>
      </c>
      <c r="AI12" s="376"/>
      <c r="AJ12" s="241">
        <f>IF(AD10="","",AH12/Y12*180)</f>
        <v>283</v>
      </c>
      <c r="AK12" s="239">
        <f>IF(AD10="w",180,AD10/Y12*180)+IF(AD11="w",180,AD11/Y12*180)</f>
        <v>247</v>
      </c>
      <c r="AL12" s="239">
        <f>AF12*10000000+AJ12*AF10011*10000000+AJ12*1000-AK12</f>
        <v>10282753</v>
      </c>
      <c r="AM12" s="240">
        <f>IF(AD10="","",RANK(AL10:AL12,AL10:AL12,0))</f>
        <v>1</v>
      </c>
      <c r="AO12" s="377" t="str">
        <f>$A$7</f>
        <v>SBC</v>
      </c>
      <c r="AP12" s="378"/>
      <c r="AQ12" s="368" t="str">
        <f>【進行】結果入力表!I56</f>
        <v>林　秀忠</v>
      </c>
      <c r="AR12" s="369"/>
      <c r="AS12" s="242">
        <f>【準備】登録!I13</f>
        <v>180</v>
      </c>
      <c r="AT12" s="370" t="str">
        <f>IF(【進行】結果入力表!G56="","",【進行】結果入力表!G56)</f>
        <v>w</v>
      </c>
      <c r="AU12" s="371"/>
      <c r="AV12" s="372" t="str">
        <f>IF(【進行】結果入力表!G72="","",【進行】結果入力表!G72)</f>
        <v>w</v>
      </c>
      <c r="AW12" s="371"/>
      <c r="AX12" s="373"/>
      <c r="AY12" s="374"/>
      <c r="AZ12" s="243">
        <f>IF(AX10="","",COUNTIF(AT12:AY12,"w"))</f>
        <v>2</v>
      </c>
      <c r="BA12" s="244">
        <f>IF(AX10="","",COUNT(AT12,AV12))</f>
        <v>0</v>
      </c>
      <c r="BB12" s="375">
        <f>SUM(AT12:AY12)+AZ12*AS12</f>
        <v>360</v>
      </c>
      <c r="BC12" s="376"/>
      <c r="BD12" s="245">
        <f>IF(AX10="","",BB12/AS12*180)</f>
        <v>360</v>
      </c>
      <c r="BE12" s="239">
        <f>IF(AX10="w",180,AX10/AS12*180)+IF(AX11="w",180,AX11/AS12*180)</f>
        <v>169</v>
      </c>
      <c r="BF12" s="239">
        <f>AZ12*10000000+BD12*AZ10011*10000000+BD12*1000-BE12</f>
        <v>20359831</v>
      </c>
      <c r="BG12" s="246">
        <f>IF(AX10="","",RANK(BF10:BF12,BF10:BF12,0))</f>
        <v>1</v>
      </c>
    </row>
    <row r="13" spans="1:59" s="200" customFormat="1" ht="8.25" customHeight="1" thickBot="1" x14ac:dyDescent="0.2">
      <c r="A13" s="247"/>
      <c r="B13" s="247"/>
      <c r="C13" s="247"/>
      <c r="D13" s="247"/>
      <c r="E13" s="248"/>
      <c r="F13" s="247"/>
      <c r="G13" s="247"/>
      <c r="H13" s="247"/>
      <c r="I13" s="247"/>
      <c r="J13" s="247"/>
      <c r="K13" s="247"/>
      <c r="L13" s="247"/>
      <c r="M13" s="247"/>
      <c r="N13" s="248"/>
      <c r="O13" s="248"/>
      <c r="P13" s="247"/>
      <c r="Q13" s="247"/>
      <c r="R13" s="248"/>
      <c r="S13" s="247"/>
      <c r="U13" s="247"/>
      <c r="V13" s="247"/>
      <c r="W13" s="247"/>
      <c r="X13" s="247"/>
      <c r="Y13" s="248"/>
      <c r="Z13" s="247"/>
      <c r="AA13" s="247"/>
      <c r="AB13" s="247"/>
      <c r="AC13" s="247"/>
      <c r="AD13" s="247"/>
      <c r="AE13" s="247"/>
      <c r="AF13" s="247"/>
      <c r="AG13" s="247"/>
      <c r="AH13" s="248"/>
      <c r="AI13" s="248"/>
      <c r="AJ13" s="249"/>
      <c r="AK13" s="247"/>
      <c r="AL13" s="248"/>
      <c r="AM13" s="247"/>
      <c r="AO13" s="250"/>
      <c r="AP13" s="250"/>
      <c r="AQ13" s="250"/>
      <c r="AR13" s="250"/>
      <c r="AS13" s="251"/>
      <c r="AT13" s="247"/>
      <c r="AU13" s="247"/>
      <c r="AV13" s="247"/>
      <c r="AW13" s="247"/>
      <c r="AX13" s="247"/>
      <c r="AY13" s="247"/>
      <c r="AZ13" s="250"/>
      <c r="BA13" s="250"/>
      <c r="BB13" s="251"/>
      <c r="BC13" s="251"/>
      <c r="BD13" s="250"/>
      <c r="BE13" s="247"/>
      <c r="BF13" s="248"/>
      <c r="BG13" s="252"/>
    </row>
    <row r="14" spans="1:59" s="200" customFormat="1" ht="12.75" thickBot="1" x14ac:dyDescent="0.2">
      <c r="A14" s="409">
        <v>3</v>
      </c>
      <c r="B14" s="410"/>
      <c r="C14" s="402" t="s">
        <v>90</v>
      </c>
      <c r="D14" s="403"/>
      <c r="E14" s="201" t="str">
        <f>E$4</f>
        <v>持点</v>
      </c>
      <c r="F14" s="202" t="str">
        <f>$A$5</f>
        <v>WRC</v>
      </c>
      <c r="G14" s="203"/>
      <c r="H14" s="204" t="str">
        <f>$A$6</f>
        <v>NRC</v>
      </c>
      <c r="I14" s="203"/>
      <c r="J14" s="204" t="str">
        <f>$A$7</f>
        <v>SBC</v>
      </c>
      <c r="K14" s="205"/>
      <c r="L14" s="203" t="s">
        <v>31</v>
      </c>
      <c r="M14" s="206" t="s">
        <v>73</v>
      </c>
      <c r="N14" s="407" t="s">
        <v>74</v>
      </c>
      <c r="O14" s="408"/>
      <c r="P14" s="206" t="s">
        <v>74</v>
      </c>
      <c r="Q14" s="207" t="s">
        <v>91</v>
      </c>
      <c r="R14" s="207" t="s">
        <v>85</v>
      </c>
      <c r="S14" s="208" t="s">
        <v>75</v>
      </c>
      <c r="U14" s="409">
        <v>3</v>
      </c>
      <c r="V14" s="410"/>
      <c r="W14" s="402" t="s">
        <v>90</v>
      </c>
      <c r="X14" s="403"/>
      <c r="Y14" s="201" t="str">
        <f>$E$4</f>
        <v>持点</v>
      </c>
      <c r="Z14" s="202" t="str">
        <f>$A$5</f>
        <v>WRC</v>
      </c>
      <c r="AA14" s="203"/>
      <c r="AB14" s="204" t="str">
        <f>$A$6</f>
        <v>NRC</v>
      </c>
      <c r="AC14" s="203"/>
      <c r="AD14" s="204" t="str">
        <f>$A$7</f>
        <v>SBC</v>
      </c>
      <c r="AE14" s="205"/>
      <c r="AF14" s="203" t="s">
        <v>31</v>
      </c>
      <c r="AG14" s="206" t="s">
        <v>73</v>
      </c>
      <c r="AH14" s="407" t="s">
        <v>74</v>
      </c>
      <c r="AI14" s="408"/>
      <c r="AJ14" s="209" t="s">
        <v>74</v>
      </c>
      <c r="AK14" s="207" t="s">
        <v>91</v>
      </c>
      <c r="AL14" s="207" t="s">
        <v>85</v>
      </c>
      <c r="AM14" s="208" t="s">
        <v>75</v>
      </c>
      <c r="AO14" s="409">
        <v>3</v>
      </c>
      <c r="AP14" s="410"/>
      <c r="AQ14" s="402" t="s">
        <v>90</v>
      </c>
      <c r="AR14" s="403"/>
      <c r="AS14" s="210" t="str">
        <f>$E$4</f>
        <v>持点</v>
      </c>
      <c r="AT14" s="202" t="str">
        <f>$A$5</f>
        <v>WRC</v>
      </c>
      <c r="AU14" s="203"/>
      <c r="AV14" s="204" t="str">
        <f>$A$6</f>
        <v>NRC</v>
      </c>
      <c r="AW14" s="203"/>
      <c r="AX14" s="204" t="str">
        <f>$A$7</f>
        <v>SBC</v>
      </c>
      <c r="AY14" s="205"/>
      <c r="AZ14" s="211" t="s">
        <v>31</v>
      </c>
      <c r="BA14" s="212" t="s">
        <v>73</v>
      </c>
      <c r="BB14" s="407" t="s">
        <v>74</v>
      </c>
      <c r="BC14" s="408"/>
      <c r="BD14" s="212" t="s">
        <v>74</v>
      </c>
      <c r="BE14" s="207" t="s">
        <v>91</v>
      </c>
      <c r="BF14" s="207" t="s">
        <v>85</v>
      </c>
      <c r="BG14" s="213" t="s">
        <v>75</v>
      </c>
    </row>
    <row r="15" spans="1:59" s="200" customFormat="1" ht="12.75" thickTop="1" x14ac:dyDescent="0.15">
      <c r="A15" s="393" t="str">
        <f>$A$5</f>
        <v>WRC</v>
      </c>
      <c r="B15" s="394"/>
      <c r="C15" s="395" t="str">
        <f>【進行】結果入力表!D9</f>
        <v>杉本　博章</v>
      </c>
      <c r="D15" s="396"/>
      <c r="E15" s="214">
        <f>【準備】登録!L11</f>
        <v>180</v>
      </c>
      <c r="F15" s="397"/>
      <c r="G15" s="398"/>
      <c r="H15" s="399" t="str">
        <f>IF(【進行】結果入力表!F17="","",【進行】結果入力表!F17)</f>
        <v>w</v>
      </c>
      <c r="I15" s="400"/>
      <c r="J15" s="399">
        <f>IF(【進行】結果入力表!F9="","",【進行】結果入力表!F9)</f>
        <v>127</v>
      </c>
      <c r="K15" s="401"/>
      <c r="L15" s="215">
        <f>IF(J15="","",COUNTIF(F15:K15,"w"))</f>
        <v>1</v>
      </c>
      <c r="M15" s="216">
        <f>IF(J15="","",COUNT(H15,J15))</f>
        <v>1</v>
      </c>
      <c r="N15" s="391">
        <f>SUM(F15:K15)+L15*E15</f>
        <v>307</v>
      </c>
      <c r="O15" s="392"/>
      <c r="P15" s="216">
        <f>IF(J15="","",N15/E15*180)</f>
        <v>307</v>
      </c>
      <c r="Q15" s="217">
        <f>IF(F16="w",180,F16/E15*180)+IF(F17="w",180,F17/E15*180)</f>
        <v>195</v>
      </c>
      <c r="R15" s="217">
        <f>L15*10000000+P15*L10014*10000000+P15*1000-Q15</f>
        <v>10306805</v>
      </c>
      <c r="S15" s="218">
        <f>IF(J15="","",RANK(R15:R17,R15:R17,0))</f>
        <v>2</v>
      </c>
      <c r="U15" s="393" t="str">
        <f>$A$5</f>
        <v>WRC</v>
      </c>
      <c r="V15" s="394"/>
      <c r="W15" s="395" t="str">
        <f>【進行】結果入力表!D41</f>
        <v>森田　憲</v>
      </c>
      <c r="X15" s="396"/>
      <c r="Y15" s="214">
        <f>【準備】登録!F11</f>
        <v>180</v>
      </c>
      <c r="Z15" s="397"/>
      <c r="AA15" s="398"/>
      <c r="AB15" s="399" t="str">
        <f>IF(【進行】結果入力表!F41="","",【進行】結果入力表!F41)</f>
        <v>w</v>
      </c>
      <c r="AC15" s="400"/>
      <c r="AD15" s="399">
        <f>IF(【進行】結果入力表!F33="","",【進行】結果入力表!F33)</f>
        <v>66</v>
      </c>
      <c r="AE15" s="401"/>
      <c r="AF15" s="215">
        <f>IF(AD15="","",COUNTIF(Z15:AE15,"w"))</f>
        <v>1</v>
      </c>
      <c r="AG15" s="216">
        <f>IF(AD15="","",COUNT(AB15,AD15))</f>
        <v>1</v>
      </c>
      <c r="AH15" s="391">
        <f>SUM(Z15:AE15)+AF15*Y15</f>
        <v>246</v>
      </c>
      <c r="AI15" s="392"/>
      <c r="AJ15" s="219">
        <f>IF(AD15="","",AH15/Y15*180)</f>
        <v>246</v>
      </c>
      <c r="AK15" s="217">
        <f>IF(Z16="w",180,Z16/Y15*180)+IF(Z17="w",180,Z17/Y15*180)</f>
        <v>283</v>
      </c>
      <c r="AL15" s="217">
        <f>AF15*10000000+AJ15*AF10014*10000000+AJ15*1000-AK15</f>
        <v>10245717</v>
      </c>
      <c r="AM15" s="218">
        <f>IF(AD15="","",RANK(AL15:AL17,AL15:AL17,0))</f>
        <v>2</v>
      </c>
      <c r="AO15" s="393" t="str">
        <f>$A$5</f>
        <v>WRC</v>
      </c>
      <c r="AP15" s="394"/>
      <c r="AQ15" s="395" t="str">
        <f>【進行】結果入力表!D65</f>
        <v>大迫　忠典</v>
      </c>
      <c r="AR15" s="396"/>
      <c r="AS15" s="220">
        <f>【準備】登録!U11</f>
        <v>180</v>
      </c>
      <c r="AT15" s="397"/>
      <c r="AU15" s="398"/>
      <c r="AV15" s="399">
        <f>IF(【進行】結果入力表!F65="","",【進行】結果入力表!F65)</f>
        <v>115</v>
      </c>
      <c r="AW15" s="400"/>
      <c r="AX15" s="399">
        <f>IF(【進行】結果入力表!F57="","",【進行】結果入力表!F57)</f>
        <v>81</v>
      </c>
      <c r="AY15" s="401"/>
      <c r="AZ15" s="221">
        <f>IF(AX15="","",COUNTIF(AT15:AY15,"w"))</f>
        <v>0</v>
      </c>
      <c r="BA15" s="222">
        <f>IF(AX15="","",COUNT(AV15,AX15))</f>
        <v>2</v>
      </c>
      <c r="BB15" s="391">
        <f>SUM(AT15:AY15)+AZ15*AS15</f>
        <v>196</v>
      </c>
      <c r="BC15" s="392"/>
      <c r="BD15" s="223">
        <f>IF(AX15="","",BB15/AS15*180)</f>
        <v>195.99999999999997</v>
      </c>
      <c r="BE15" s="217">
        <f>IF(AT16="w",180,AT16/AS15*180)+IF(AT17="w",180,AT17/AS15*180)</f>
        <v>360</v>
      </c>
      <c r="BF15" s="217">
        <f>AZ15*10000000+BD15*AZ10014*10000000+BD15*1000-BE15</f>
        <v>195639.99999999997</v>
      </c>
      <c r="BG15" s="224">
        <f>IF(AX15="","",RANK(BF15:BF17,BF15:BF17,0))</f>
        <v>3</v>
      </c>
    </row>
    <row r="16" spans="1:59" s="200" customFormat="1" ht="12" x14ac:dyDescent="0.15">
      <c r="A16" s="385" t="str">
        <f>$A$6</f>
        <v>NRC</v>
      </c>
      <c r="B16" s="386"/>
      <c r="C16" s="387" t="str">
        <f>【進行】結果入力表!I17</f>
        <v>植田　慎也</v>
      </c>
      <c r="D16" s="388"/>
      <c r="E16" s="225">
        <f>【準備】登録!L12</f>
        <v>180</v>
      </c>
      <c r="F16" s="389">
        <f>IF(【進行】結果入力表!G17="","",【進行】結果入力表!G17)</f>
        <v>15</v>
      </c>
      <c r="G16" s="390"/>
      <c r="H16" s="379"/>
      <c r="I16" s="380"/>
      <c r="J16" s="381">
        <f>IF(【進行】結果入力表!F25="","",【進行】結果入力表!F25)</f>
        <v>65</v>
      </c>
      <c r="K16" s="382"/>
      <c r="L16" s="226">
        <f>IF(J15="","",COUNTIF(F16:K16,"w"))</f>
        <v>0</v>
      </c>
      <c r="M16" s="227">
        <f>IF(J15="","",COUNT(F16,J16))</f>
        <v>2</v>
      </c>
      <c r="N16" s="383">
        <f>SUM(F16:K16)+L16*E16</f>
        <v>80</v>
      </c>
      <c r="O16" s="384"/>
      <c r="P16" s="227">
        <f>IF(J15="","",N16/E16*180)</f>
        <v>80</v>
      </c>
      <c r="Q16" s="228">
        <f>IF(H15="w",180,H15/E16*180)+IF(H17="w",180,H17/E16*180)</f>
        <v>360</v>
      </c>
      <c r="R16" s="228">
        <f>L16*10000000+P16*L10015*10000000+P16*1000-Q16</f>
        <v>79640</v>
      </c>
      <c r="S16" s="229">
        <f>IF(J15="","",RANK(R15:R17,R15:R17,0))</f>
        <v>3</v>
      </c>
      <c r="U16" s="385" t="str">
        <f>$A$6</f>
        <v>NRC</v>
      </c>
      <c r="V16" s="386"/>
      <c r="W16" s="387" t="str">
        <f>【進行】結果入力表!I41</f>
        <v>吉向　翔平</v>
      </c>
      <c r="X16" s="388"/>
      <c r="Y16" s="225">
        <f>【準備】登録!I12</f>
        <v>180</v>
      </c>
      <c r="Z16" s="389">
        <f>IF(【進行】結果入力表!G41="","",【進行】結果入力表!G41)</f>
        <v>103</v>
      </c>
      <c r="AA16" s="390"/>
      <c r="AB16" s="379"/>
      <c r="AC16" s="380"/>
      <c r="AD16" s="381">
        <f>IF(【進行】結果入力表!F49="","",【進行】結果入力表!F49)</f>
        <v>79</v>
      </c>
      <c r="AE16" s="382"/>
      <c r="AF16" s="226">
        <f>IF(AD15="","",COUNTIF(Z16:AE16,"w"))</f>
        <v>0</v>
      </c>
      <c r="AG16" s="227">
        <f>IF(AD15="","",COUNT(Z16,AD16))</f>
        <v>2</v>
      </c>
      <c r="AH16" s="383">
        <f>SUM(Z16:AE16)+AF16*Y16</f>
        <v>182</v>
      </c>
      <c r="AI16" s="384"/>
      <c r="AJ16" s="230">
        <f>IF(AD15="","",AH16/Y16*180)</f>
        <v>182</v>
      </c>
      <c r="AK16" s="228">
        <f>IF(AB15="w",180,AB15/Y16*180)+IF(AB17="w",180,AB17/Y16*180)</f>
        <v>360</v>
      </c>
      <c r="AL16" s="228">
        <f>AF16*10000000+AJ16*AF10015*10000000+AJ16*1000-AK16</f>
        <v>181640</v>
      </c>
      <c r="AM16" s="229">
        <f>IF(AD15="","",RANK(AL15:AL17,AL15:AL17,0))</f>
        <v>3</v>
      </c>
      <c r="AO16" s="385" t="str">
        <f>$A$6</f>
        <v>NRC</v>
      </c>
      <c r="AP16" s="386"/>
      <c r="AQ16" s="387" t="str">
        <f>【進行】結果入力表!I65</f>
        <v>白戸　玲人</v>
      </c>
      <c r="AR16" s="388"/>
      <c r="AS16" s="231">
        <f>【準備】登録!F12</f>
        <v>180</v>
      </c>
      <c r="AT16" s="389" t="str">
        <f>IF(【進行】結果入力表!G65="","",【進行】結果入力表!G65)</f>
        <v>w</v>
      </c>
      <c r="AU16" s="390"/>
      <c r="AV16" s="379"/>
      <c r="AW16" s="380"/>
      <c r="AX16" s="381" t="str">
        <f>IF(【進行】結果入力表!F73="","",【進行】結果入力表!F73)</f>
        <v>w</v>
      </c>
      <c r="AY16" s="382"/>
      <c r="AZ16" s="232">
        <f>IF(AX15="","",COUNTIF(AT16:AY16,"w"))</f>
        <v>2</v>
      </c>
      <c r="BA16" s="233">
        <f>IF(AX15="","",COUNT(AT16,AX16))</f>
        <v>0</v>
      </c>
      <c r="BB16" s="383">
        <f>SUM(AT16:AY16)+AZ16*AS16</f>
        <v>360</v>
      </c>
      <c r="BC16" s="384"/>
      <c r="BD16" s="234">
        <f>IF(AX15="","",BB16/AS16*180)</f>
        <v>360</v>
      </c>
      <c r="BE16" s="228">
        <f>IF(AV15="w",180,AV15/AS16*180)+IF(AV17="w",180,AV17/AS16*180)</f>
        <v>269</v>
      </c>
      <c r="BF16" s="228">
        <f>AZ16*10000000+BD16*AZ10015*10000000+BD16*1000-BE16</f>
        <v>20359731</v>
      </c>
      <c r="BG16" s="235">
        <f>IF(AX15="","",RANK(BF15:BF17,BF15:BF17,0))</f>
        <v>1</v>
      </c>
    </row>
    <row r="17" spans="1:59" s="200" customFormat="1" ht="12.75" thickBot="1" x14ac:dyDescent="0.2">
      <c r="A17" s="377" t="str">
        <f>$A$7</f>
        <v>SBC</v>
      </c>
      <c r="B17" s="378"/>
      <c r="C17" s="368" t="str">
        <f>【進行】結果入力表!I9</f>
        <v>西峰　久祐</v>
      </c>
      <c r="D17" s="369"/>
      <c r="E17" s="236">
        <f>【準備】登録!L13</f>
        <v>180</v>
      </c>
      <c r="F17" s="370" t="str">
        <f>IF(【進行】結果入力表!G9="","",【進行】結果入力表!G9)</f>
        <v>w</v>
      </c>
      <c r="G17" s="371"/>
      <c r="H17" s="372" t="str">
        <f>IF(【進行】結果入力表!G25="","",【進行】結果入力表!G25)</f>
        <v>w</v>
      </c>
      <c r="I17" s="371"/>
      <c r="J17" s="373"/>
      <c r="K17" s="374"/>
      <c r="L17" s="237">
        <f>IF(J15="","",COUNTIF(F17:K17,"w"))</f>
        <v>2</v>
      </c>
      <c r="M17" s="238">
        <f>IF(J15="","",COUNT(F17,H17))</f>
        <v>0</v>
      </c>
      <c r="N17" s="375">
        <f>SUM(F17:K17)+L17*E17</f>
        <v>360</v>
      </c>
      <c r="O17" s="376"/>
      <c r="P17" s="238">
        <f>IF(J15="","",N17/E17*180)</f>
        <v>360</v>
      </c>
      <c r="Q17" s="239">
        <f>IF(J15="w",180,J15/E17*180)+IF(J16="w",180,J16/E17*180)</f>
        <v>192</v>
      </c>
      <c r="R17" s="239">
        <f>L17*10000000+P17*L10016*10000000+P17*1000-Q17</f>
        <v>20359808</v>
      </c>
      <c r="S17" s="240">
        <f>IF(J15="","",RANK(R15:R17,R15:R17,0))</f>
        <v>1</v>
      </c>
      <c r="U17" s="377" t="str">
        <f>$A$7</f>
        <v>SBC</v>
      </c>
      <c r="V17" s="378"/>
      <c r="W17" s="368" t="str">
        <f>【進行】結果入力表!I33</f>
        <v>西峰　久祐</v>
      </c>
      <c r="X17" s="369"/>
      <c r="Y17" s="236">
        <f>【準備】登録!L13</f>
        <v>180</v>
      </c>
      <c r="Z17" s="370" t="str">
        <f>IF(【進行】結果入力表!G33="","",【進行】結果入力表!G33)</f>
        <v>w</v>
      </c>
      <c r="AA17" s="371"/>
      <c r="AB17" s="372" t="str">
        <f>IF(【進行】結果入力表!G49="","",【進行】結果入力表!G49)</f>
        <v>w</v>
      </c>
      <c r="AC17" s="371"/>
      <c r="AD17" s="373"/>
      <c r="AE17" s="374"/>
      <c r="AF17" s="237">
        <f>IF(AD15="","",COUNTIF(Z17:AE17,"w"))</f>
        <v>2</v>
      </c>
      <c r="AG17" s="238">
        <f>IF(AD15="","",COUNT(Z17,AB17))</f>
        <v>0</v>
      </c>
      <c r="AH17" s="375">
        <f>SUM(Z17:AE17)+AF17*Y17</f>
        <v>360</v>
      </c>
      <c r="AI17" s="376"/>
      <c r="AJ17" s="241">
        <f>IF(AD15="","",AH17/Y17*180)</f>
        <v>360</v>
      </c>
      <c r="AK17" s="239">
        <f>IF(AD15="w",180,AD15/Y17*180)+IF(AD16="w",180,AD16/Y17*180)</f>
        <v>145</v>
      </c>
      <c r="AL17" s="239">
        <f>AF17*10000000+AJ17*AF10016*10000000+AJ17*1000-AK17</f>
        <v>20359855</v>
      </c>
      <c r="AM17" s="240">
        <f>IF(AD15="","",RANK(AL15:AL17,AL15:AL17,0))</f>
        <v>1</v>
      </c>
      <c r="AO17" s="377" t="str">
        <f>$A$7</f>
        <v>SBC</v>
      </c>
      <c r="AP17" s="378"/>
      <c r="AQ17" s="368" t="str">
        <f>【進行】結果入力表!I57</f>
        <v>西峰　久祐</v>
      </c>
      <c r="AR17" s="369"/>
      <c r="AS17" s="242">
        <f>【準備】登録!L13</f>
        <v>180</v>
      </c>
      <c r="AT17" s="370" t="str">
        <f>IF(【進行】結果入力表!G57="","",【進行】結果入力表!G57)</f>
        <v>w</v>
      </c>
      <c r="AU17" s="371"/>
      <c r="AV17" s="372">
        <f>IF(【進行】結果入力表!G73="","",【進行】結果入力表!G73)</f>
        <v>154</v>
      </c>
      <c r="AW17" s="371"/>
      <c r="AX17" s="373"/>
      <c r="AY17" s="374"/>
      <c r="AZ17" s="243">
        <f>IF(AX15="","",COUNTIF(AT17:AY17,"w"))</f>
        <v>1</v>
      </c>
      <c r="BA17" s="244">
        <f>IF(AX15="","",COUNT(AT17,AV17))</f>
        <v>1</v>
      </c>
      <c r="BB17" s="375">
        <f>SUM(AT17:AY17)+AZ17*AS17</f>
        <v>334</v>
      </c>
      <c r="BC17" s="376"/>
      <c r="BD17" s="245">
        <f>IF(AX15="","",BB17/AS17*180)</f>
        <v>334</v>
      </c>
      <c r="BE17" s="239">
        <f>IF(AX15="w",180,AX15/AS17*180)+IF(AX16="w",180,AX16/AS17*180)</f>
        <v>261</v>
      </c>
      <c r="BF17" s="239">
        <f>AZ17*10000000+BD17*AZ10016*10000000+BD17*1000-BE17</f>
        <v>10333739</v>
      </c>
      <c r="BG17" s="246">
        <f>IF(AX15="","",RANK(BF15:BF17,BF15:BF17,0))</f>
        <v>2</v>
      </c>
    </row>
    <row r="18" spans="1:59" s="200" customFormat="1" ht="8.25" customHeight="1" thickBot="1" x14ac:dyDescent="0.2">
      <c r="A18" s="247"/>
      <c r="B18" s="247"/>
      <c r="C18" s="247"/>
      <c r="D18" s="247"/>
      <c r="E18" s="248"/>
      <c r="F18" s="247"/>
      <c r="G18" s="247"/>
      <c r="H18" s="247"/>
      <c r="I18" s="247"/>
      <c r="J18" s="247"/>
      <c r="K18" s="247"/>
      <c r="L18" s="247"/>
      <c r="M18" s="247"/>
      <c r="N18" s="248"/>
      <c r="O18" s="248"/>
      <c r="P18" s="247"/>
      <c r="Q18" s="247"/>
      <c r="R18" s="248"/>
      <c r="S18" s="247"/>
      <c r="U18" s="247"/>
      <c r="V18" s="247"/>
      <c r="W18" s="247"/>
      <c r="X18" s="247"/>
      <c r="Y18" s="248"/>
      <c r="Z18" s="247"/>
      <c r="AA18" s="247"/>
      <c r="AB18" s="247"/>
      <c r="AC18" s="247"/>
      <c r="AD18" s="247"/>
      <c r="AE18" s="247"/>
      <c r="AF18" s="247"/>
      <c r="AG18" s="247"/>
      <c r="AH18" s="248"/>
      <c r="AI18" s="248"/>
      <c r="AJ18" s="249"/>
      <c r="AK18" s="247"/>
      <c r="AL18" s="248"/>
      <c r="AM18" s="247"/>
      <c r="AO18" s="250"/>
      <c r="AP18" s="250"/>
      <c r="AQ18" s="250"/>
      <c r="AR18" s="250"/>
      <c r="AS18" s="251"/>
      <c r="AT18" s="247"/>
      <c r="AU18" s="247"/>
      <c r="AV18" s="247"/>
      <c r="AW18" s="247"/>
      <c r="AX18" s="247"/>
      <c r="AY18" s="247"/>
      <c r="AZ18" s="250"/>
      <c r="BA18" s="250"/>
      <c r="BB18" s="251"/>
      <c r="BC18" s="251"/>
      <c r="BD18" s="250"/>
      <c r="BE18" s="247"/>
      <c r="BF18" s="248"/>
      <c r="BG18" s="252"/>
    </row>
    <row r="19" spans="1:59" s="200" customFormat="1" ht="12.75" thickBot="1" x14ac:dyDescent="0.2">
      <c r="A19" s="409">
        <v>4</v>
      </c>
      <c r="B19" s="410"/>
      <c r="C19" s="402" t="s">
        <v>90</v>
      </c>
      <c r="D19" s="403"/>
      <c r="E19" s="201" t="str">
        <f>E$4</f>
        <v>持点</v>
      </c>
      <c r="F19" s="202" t="str">
        <f>$A$5</f>
        <v>WRC</v>
      </c>
      <c r="G19" s="203"/>
      <c r="H19" s="204" t="str">
        <f>$A$6</f>
        <v>NRC</v>
      </c>
      <c r="I19" s="203"/>
      <c r="J19" s="204" t="str">
        <f>$A$7</f>
        <v>SBC</v>
      </c>
      <c r="K19" s="205"/>
      <c r="L19" s="203" t="s">
        <v>31</v>
      </c>
      <c r="M19" s="206" t="s">
        <v>73</v>
      </c>
      <c r="N19" s="407" t="s">
        <v>74</v>
      </c>
      <c r="O19" s="408"/>
      <c r="P19" s="206" t="s">
        <v>74</v>
      </c>
      <c r="Q19" s="207" t="s">
        <v>91</v>
      </c>
      <c r="R19" s="207" t="s">
        <v>85</v>
      </c>
      <c r="S19" s="208" t="s">
        <v>75</v>
      </c>
      <c r="U19" s="409">
        <v>4</v>
      </c>
      <c r="V19" s="410"/>
      <c r="W19" s="402" t="s">
        <v>90</v>
      </c>
      <c r="X19" s="403"/>
      <c r="Y19" s="201" t="str">
        <f>$E$4</f>
        <v>持点</v>
      </c>
      <c r="Z19" s="202" t="str">
        <f>$A$5</f>
        <v>WRC</v>
      </c>
      <c r="AA19" s="203"/>
      <c r="AB19" s="204" t="str">
        <f>$A$6</f>
        <v>NRC</v>
      </c>
      <c r="AC19" s="203"/>
      <c r="AD19" s="204" t="str">
        <f>$A$7</f>
        <v>SBC</v>
      </c>
      <c r="AE19" s="205"/>
      <c r="AF19" s="203" t="s">
        <v>31</v>
      </c>
      <c r="AG19" s="206" t="s">
        <v>73</v>
      </c>
      <c r="AH19" s="407" t="s">
        <v>74</v>
      </c>
      <c r="AI19" s="408"/>
      <c r="AJ19" s="209" t="s">
        <v>74</v>
      </c>
      <c r="AK19" s="207" t="s">
        <v>91</v>
      </c>
      <c r="AL19" s="207" t="s">
        <v>85</v>
      </c>
      <c r="AM19" s="208" t="s">
        <v>75</v>
      </c>
      <c r="AO19" s="409">
        <v>4</v>
      </c>
      <c r="AP19" s="410"/>
      <c r="AQ19" s="402" t="s">
        <v>90</v>
      </c>
      <c r="AR19" s="403"/>
      <c r="AS19" s="210" t="str">
        <f>$E$4</f>
        <v>持点</v>
      </c>
      <c r="AT19" s="202" t="str">
        <f>$A$5</f>
        <v>WRC</v>
      </c>
      <c r="AU19" s="203"/>
      <c r="AV19" s="204" t="str">
        <f>$A$6</f>
        <v>NRC</v>
      </c>
      <c r="AW19" s="203"/>
      <c r="AX19" s="204" t="str">
        <f>$A$7</f>
        <v>SBC</v>
      </c>
      <c r="AY19" s="205"/>
      <c r="AZ19" s="211" t="s">
        <v>31</v>
      </c>
      <c r="BA19" s="212" t="s">
        <v>73</v>
      </c>
      <c r="BB19" s="407" t="s">
        <v>74</v>
      </c>
      <c r="BC19" s="408"/>
      <c r="BD19" s="212" t="s">
        <v>74</v>
      </c>
      <c r="BE19" s="207" t="s">
        <v>91</v>
      </c>
      <c r="BF19" s="207" t="s">
        <v>85</v>
      </c>
      <c r="BG19" s="213" t="s">
        <v>75</v>
      </c>
    </row>
    <row r="20" spans="1:59" s="200" customFormat="1" ht="12.75" thickTop="1" x14ac:dyDescent="0.15">
      <c r="A20" s="393" t="str">
        <f>$A$5</f>
        <v>WRC</v>
      </c>
      <c r="B20" s="394"/>
      <c r="C20" s="395" t="str">
        <f>【進行】結果入力表!D10</f>
        <v>末岡　修</v>
      </c>
      <c r="D20" s="396"/>
      <c r="E20" s="214">
        <f>【準備】登録!O11</f>
        <v>180</v>
      </c>
      <c r="F20" s="397"/>
      <c r="G20" s="398"/>
      <c r="H20" s="399">
        <f>IF(【進行】結果入力表!F18="","",【進行】結果入力表!F18)</f>
        <v>71</v>
      </c>
      <c r="I20" s="400"/>
      <c r="J20" s="399">
        <f>IF(【進行】結果入力表!F10="","",【進行】結果入力表!F10)</f>
        <v>93</v>
      </c>
      <c r="K20" s="401"/>
      <c r="L20" s="215">
        <f>IF(J20="","",COUNTIF(F20:K20,"w"))</f>
        <v>0</v>
      </c>
      <c r="M20" s="216">
        <f>IF(J20="","",COUNT(H20,J20))</f>
        <v>2</v>
      </c>
      <c r="N20" s="391">
        <f>SUM(F20:K20)+L20*E20</f>
        <v>164</v>
      </c>
      <c r="O20" s="392"/>
      <c r="P20" s="216">
        <f>IF(J20="","",N20/E20*180)</f>
        <v>164</v>
      </c>
      <c r="Q20" s="217">
        <f>IF(F21="w",180,F21/E20*180)+IF(F22="w",180,F22/E20*180)</f>
        <v>360</v>
      </c>
      <c r="R20" s="217">
        <f>L20*10000000+P20*L10019*10000000+P20*1000-Q20</f>
        <v>163640</v>
      </c>
      <c r="S20" s="218">
        <f>IF(J20="","",RANK(R20:R22,R20:R22,0))</f>
        <v>3</v>
      </c>
      <c r="U20" s="393" t="str">
        <f>$A$5</f>
        <v>WRC</v>
      </c>
      <c r="V20" s="394"/>
      <c r="W20" s="395" t="str">
        <f>【進行】結果入力表!D42</f>
        <v>和田　宗一郎</v>
      </c>
      <c r="X20" s="396"/>
      <c r="Y20" s="214">
        <f>【準備】登録!I11</f>
        <v>180</v>
      </c>
      <c r="Z20" s="397"/>
      <c r="AA20" s="398"/>
      <c r="AB20" s="399" t="str">
        <f>IF(【進行】結果入力表!F42="","",【進行】結果入力表!F42)</f>
        <v>w</v>
      </c>
      <c r="AC20" s="400"/>
      <c r="AD20" s="399">
        <f>IF(【進行】結果入力表!F34="","",【進行】結果入力表!F34)</f>
        <v>137</v>
      </c>
      <c r="AE20" s="401"/>
      <c r="AF20" s="215">
        <f>IF(AD20="","",COUNTIF(Z20:AE20,"w"))</f>
        <v>1</v>
      </c>
      <c r="AG20" s="216">
        <f>IF(AD20="","",COUNT(AB20,AD20))</f>
        <v>1</v>
      </c>
      <c r="AH20" s="391">
        <f>SUM(Z20:AE20)+AF20*Y20</f>
        <v>317</v>
      </c>
      <c r="AI20" s="392"/>
      <c r="AJ20" s="219">
        <f>IF(AD20="","",AH20/Y20*180)</f>
        <v>317</v>
      </c>
      <c r="AK20" s="217">
        <f>IF(Z21="w",180,Z21/Y20*180)+IF(Z22="w",180,Z22/Y20*180)</f>
        <v>272</v>
      </c>
      <c r="AL20" s="217">
        <f>AF20*10000000+AJ20*AF10019*10000000+AJ20*1000-AK20</f>
        <v>10316728</v>
      </c>
      <c r="AM20" s="218">
        <f>IF(AD20="","",RANK(AL20:AL22,AL20:AL22,0))</f>
        <v>2</v>
      </c>
      <c r="AO20" s="393" t="str">
        <f>$A$5</f>
        <v>WRC</v>
      </c>
      <c r="AP20" s="394"/>
      <c r="AQ20" s="395" t="str">
        <f>【進行】結果入力表!D66</f>
        <v>松房　ゆかり</v>
      </c>
      <c r="AR20" s="396"/>
      <c r="AS20" s="220">
        <f>【準備】登録!X11</f>
        <v>140</v>
      </c>
      <c r="AT20" s="397"/>
      <c r="AU20" s="398"/>
      <c r="AV20" s="399">
        <f>IF(【進行】結果入力表!F66="","",【進行】結果入力表!F66)</f>
        <v>99</v>
      </c>
      <c r="AW20" s="400"/>
      <c r="AX20" s="399" t="str">
        <f>IF(【進行】結果入力表!F58="","",【進行】結果入力表!F58)</f>
        <v>w</v>
      </c>
      <c r="AY20" s="401"/>
      <c r="AZ20" s="221">
        <f>IF(AX20="","",COUNTIF(AT20:AY20,"w"))</f>
        <v>1</v>
      </c>
      <c r="BA20" s="222">
        <f>IF(AX20="","",COUNT(AV20,AX20))</f>
        <v>1</v>
      </c>
      <c r="BB20" s="391">
        <f>SUM(AT20:AY20)+AZ20*AS20</f>
        <v>239</v>
      </c>
      <c r="BC20" s="392"/>
      <c r="BD20" s="223">
        <f>IF(AX20="","",BB20/AS20*180)</f>
        <v>307.28571428571428</v>
      </c>
      <c r="BE20" s="217">
        <f>IF(AT21="w",180,AT21/AS20*180)+IF(AT22="w",180,AT22/AS20*180)</f>
        <v>216</v>
      </c>
      <c r="BF20" s="217">
        <f>AZ20*10000000+BD20*AZ10019*10000000+BD20*1000-BE20</f>
        <v>10307069.714285715</v>
      </c>
      <c r="BG20" s="224">
        <f>IF(AX20="","",RANK(BF20:BF22,BF20:BF22,0))</f>
        <v>2</v>
      </c>
    </row>
    <row r="21" spans="1:59" s="200" customFormat="1" ht="12" x14ac:dyDescent="0.15">
      <c r="A21" s="385" t="str">
        <f>$A$6</f>
        <v>NRC</v>
      </c>
      <c r="B21" s="386"/>
      <c r="C21" s="387" t="str">
        <f>【進行】結果入力表!I18</f>
        <v>岩本　剛</v>
      </c>
      <c r="D21" s="388"/>
      <c r="E21" s="225">
        <f>【準備】登録!O12</f>
        <v>180</v>
      </c>
      <c r="F21" s="389" t="str">
        <f>IF(【進行】結果入力表!G18="","",【進行】結果入力表!G18)</f>
        <v>w</v>
      </c>
      <c r="G21" s="390"/>
      <c r="H21" s="379"/>
      <c r="I21" s="380"/>
      <c r="J21" s="381">
        <f>IF(【進行】結果入力表!F26="","",【進行】結果入力表!F26)</f>
        <v>131</v>
      </c>
      <c r="K21" s="382"/>
      <c r="L21" s="226">
        <f>IF(J20="","",COUNTIF(F21:K21,"w"))</f>
        <v>1</v>
      </c>
      <c r="M21" s="227">
        <f>IF(J20="","",COUNT(F21,J21))</f>
        <v>1</v>
      </c>
      <c r="N21" s="383">
        <f>SUM(F21:K21)+L21*E21</f>
        <v>311</v>
      </c>
      <c r="O21" s="384"/>
      <c r="P21" s="227">
        <f>IF(J20="","",N21/E21*180)</f>
        <v>311</v>
      </c>
      <c r="Q21" s="228">
        <f>IF(H20="w",180,H20/E21*180)+IF(H22="w",180,H22/E21*180)</f>
        <v>251</v>
      </c>
      <c r="R21" s="228">
        <f>L21*10000000+P21*L10020*10000000+P21*1000-Q21</f>
        <v>10310749</v>
      </c>
      <c r="S21" s="229">
        <f>IF(J20="","",RANK(R20:R22,R20:R22,0))</f>
        <v>2</v>
      </c>
      <c r="U21" s="385" t="str">
        <f>$A$6</f>
        <v>NRC</v>
      </c>
      <c r="V21" s="386"/>
      <c r="W21" s="387" t="str">
        <f>【進行】結果入力表!I42</f>
        <v>植田　慎也</v>
      </c>
      <c r="X21" s="388"/>
      <c r="Y21" s="225">
        <f>【準備】登録!L12</f>
        <v>180</v>
      </c>
      <c r="Z21" s="389">
        <f>IF(【進行】結果入力表!G42="","",【進行】結果入力表!G42)</f>
        <v>92</v>
      </c>
      <c r="AA21" s="390"/>
      <c r="AB21" s="379"/>
      <c r="AC21" s="380"/>
      <c r="AD21" s="381">
        <f>IF(【進行】結果入力表!F50="","",【進行】結果入力表!F50)</f>
        <v>155</v>
      </c>
      <c r="AE21" s="382"/>
      <c r="AF21" s="226">
        <f>IF(AD20="","",COUNTIF(Z21:AE21,"w"))</f>
        <v>0</v>
      </c>
      <c r="AG21" s="227">
        <f>IF(AD20="","",COUNT(Z21,AD21))</f>
        <v>2</v>
      </c>
      <c r="AH21" s="383">
        <f>SUM(Z21:AE21)+AF21*Y21</f>
        <v>247</v>
      </c>
      <c r="AI21" s="384"/>
      <c r="AJ21" s="230">
        <f>IF(AD20="","",AH21/Y21*180)</f>
        <v>247</v>
      </c>
      <c r="AK21" s="228">
        <f>IF(AB20="w",180,AB20/Y21*180)+IF(AB22="w",180,AB22/Y21*180)</f>
        <v>360</v>
      </c>
      <c r="AL21" s="228">
        <f>AF21*10000000+AJ21*AF10020*10000000+AJ21*1000-AK21</f>
        <v>246640</v>
      </c>
      <c r="AM21" s="229">
        <f>IF(AD20="","",RANK(AL20:AL22,AL20:AL22,0))</f>
        <v>3</v>
      </c>
      <c r="AO21" s="385" t="str">
        <f>$A$6</f>
        <v>NRC</v>
      </c>
      <c r="AP21" s="386"/>
      <c r="AQ21" s="387" t="str">
        <f>【進行】結果入力表!I66</f>
        <v>吉向　翔平</v>
      </c>
      <c r="AR21" s="388"/>
      <c r="AS21" s="231">
        <f>【準備】登録!I12</f>
        <v>180</v>
      </c>
      <c r="AT21" s="389" t="str">
        <f>IF(【進行】結果入力表!G66="","",【進行】結果入力表!G66)</f>
        <v>w</v>
      </c>
      <c r="AU21" s="390"/>
      <c r="AV21" s="379"/>
      <c r="AW21" s="380"/>
      <c r="AX21" s="381" t="str">
        <f>IF(【進行】結果入力表!F74="","",【進行】結果入力表!F74)</f>
        <v>w</v>
      </c>
      <c r="AY21" s="382"/>
      <c r="AZ21" s="232">
        <f>IF(AX20="","",COUNTIF(AT21:AY21,"w"))</f>
        <v>2</v>
      </c>
      <c r="BA21" s="233">
        <f>IF(AX20="","",COUNT(AT21,AX21))</f>
        <v>0</v>
      </c>
      <c r="BB21" s="383">
        <f>SUM(AT21:AY21)+AZ21*AS21</f>
        <v>360</v>
      </c>
      <c r="BC21" s="384"/>
      <c r="BD21" s="234">
        <f>IF(AX20="","",BB21/AS21*180)</f>
        <v>360</v>
      </c>
      <c r="BE21" s="228">
        <f>IF(AV20="w",180,AV20/AS21*180)+IF(AV22="w",180,AV22/AS21*180)</f>
        <v>127.00000000000001</v>
      </c>
      <c r="BF21" s="228">
        <f>AZ21*10000000+BD21*AZ10020*10000000+BD21*1000-BE21</f>
        <v>20359873</v>
      </c>
      <c r="BG21" s="235">
        <f>IF(AX20="","",RANK(BF20:BF22,BF20:BF22,0))</f>
        <v>1</v>
      </c>
    </row>
    <row r="22" spans="1:59" s="200" customFormat="1" ht="12.75" thickBot="1" x14ac:dyDescent="0.2">
      <c r="A22" s="377" t="str">
        <f>$A$7</f>
        <v>SBC</v>
      </c>
      <c r="B22" s="378"/>
      <c r="C22" s="368" t="str">
        <f>【進行】結果入力表!I10</f>
        <v>山中　康裕</v>
      </c>
      <c r="D22" s="369"/>
      <c r="E22" s="236">
        <f>【準備】登録!O13</f>
        <v>180</v>
      </c>
      <c r="F22" s="370" t="str">
        <f>IF(【進行】結果入力表!G10="","",【進行】結果入力表!G10)</f>
        <v>w</v>
      </c>
      <c r="G22" s="371"/>
      <c r="H22" s="372" t="str">
        <f>IF(【進行】結果入力表!G26="","",【進行】結果入力表!G26)</f>
        <v>w</v>
      </c>
      <c r="I22" s="371"/>
      <c r="J22" s="373"/>
      <c r="K22" s="374"/>
      <c r="L22" s="237">
        <f>IF(J20="","",COUNTIF(F22:K22,"w"))</f>
        <v>2</v>
      </c>
      <c r="M22" s="238">
        <f>IF(J20="","",COUNT(F22,H22))</f>
        <v>0</v>
      </c>
      <c r="N22" s="375">
        <f>SUM(F22:K22)+L22*E22</f>
        <v>360</v>
      </c>
      <c r="O22" s="376"/>
      <c r="P22" s="238">
        <f>IF(J20="","",N22/E22*180)</f>
        <v>360</v>
      </c>
      <c r="Q22" s="239">
        <f>IF(J20="w",180,J20/E22*180)+IF(J21="w",180,J21/E22*180)</f>
        <v>224</v>
      </c>
      <c r="R22" s="239">
        <f>L22*10000000+P22*L10021*10000000+P22*1000-Q22</f>
        <v>20359776</v>
      </c>
      <c r="S22" s="240">
        <f>IF(J20="","",RANK(R20:R22,R20:R22,0))</f>
        <v>1</v>
      </c>
      <c r="U22" s="377" t="str">
        <f>$A$7</f>
        <v>SBC</v>
      </c>
      <c r="V22" s="378"/>
      <c r="W22" s="368" t="str">
        <f>【進行】結果入力表!I34</f>
        <v>山中　康裕</v>
      </c>
      <c r="X22" s="369"/>
      <c r="Y22" s="236">
        <f>【準備】登録!O13</f>
        <v>180</v>
      </c>
      <c r="Z22" s="370" t="str">
        <f>IF(【進行】結果入力表!G34="","",【進行】結果入力表!G34)</f>
        <v>w</v>
      </c>
      <c r="AA22" s="371"/>
      <c r="AB22" s="372" t="str">
        <f>IF(【進行】結果入力表!G50="","",【進行】結果入力表!G50)</f>
        <v>w</v>
      </c>
      <c r="AC22" s="371"/>
      <c r="AD22" s="373"/>
      <c r="AE22" s="374"/>
      <c r="AF22" s="237">
        <f>IF(AD20="","",COUNTIF(Z22:AE22,"w"))</f>
        <v>2</v>
      </c>
      <c r="AG22" s="238">
        <f>IF(AD20="","",COUNT(Z22,AB22))</f>
        <v>0</v>
      </c>
      <c r="AH22" s="375">
        <f>SUM(Z22:AE22)+AF22*Y22</f>
        <v>360</v>
      </c>
      <c r="AI22" s="376"/>
      <c r="AJ22" s="241">
        <f>IF(AD20="","",AH22/Y22*180)</f>
        <v>360</v>
      </c>
      <c r="AK22" s="239">
        <f>IF(AD20="w",180,AD20/Y22*180)+IF(AD21="w",180,AD21/Y22*180)</f>
        <v>292</v>
      </c>
      <c r="AL22" s="239">
        <f>AF22*10000000+AJ22*AF10021*10000000+AJ22*1000-AK22</f>
        <v>20359708</v>
      </c>
      <c r="AM22" s="240">
        <f>IF(AD20="","",RANK(AL20:AL22,AL20:AL22,0))</f>
        <v>1</v>
      </c>
      <c r="AO22" s="377" t="str">
        <f>$A$7</f>
        <v>SBC</v>
      </c>
      <c r="AP22" s="378"/>
      <c r="AQ22" s="368" t="str">
        <f>【進行】結果入力表!I58</f>
        <v>山中　康裕</v>
      </c>
      <c r="AR22" s="369"/>
      <c r="AS22" s="242">
        <f>【準備】登録!O13</f>
        <v>180</v>
      </c>
      <c r="AT22" s="370">
        <f>IF(【進行】結果入力表!G58="","",【進行】結果入力表!G58)</f>
        <v>28</v>
      </c>
      <c r="AU22" s="371"/>
      <c r="AV22" s="372">
        <f>IF(【進行】結果入力表!G74="","",【進行】結果入力表!G74)</f>
        <v>28</v>
      </c>
      <c r="AW22" s="371"/>
      <c r="AX22" s="373"/>
      <c r="AY22" s="374"/>
      <c r="AZ22" s="243">
        <f>IF(AX20="","",COUNTIF(AT22:AY22,"w"))</f>
        <v>0</v>
      </c>
      <c r="BA22" s="244">
        <f>IF(AX20="","",COUNT(AT22,AV22))</f>
        <v>2</v>
      </c>
      <c r="BB22" s="375">
        <f>SUM(AT22:AY22)+AZ22*AS22</f>
        <v>56</v>
      </c>
      <c r="BC22" s="376"/>
      <c r="BD22" s="245">
        <f>IF(AX20="","",BB22/AS22*180)</f>
        <v>56</v>
      </c>
      <c r="BE22" s="239">
        <f>IF(AX20="w",180,AX20/AS22*180)+IF(AX21="w",180,AX21/AS22*180)</f>
        <v>360</v>
      </c>
      <c r="BF22" s="239">
        <f>AZ22*10000000+BD22*AZ10021*10000000+BD22*1000-BE22</f>
        <v>55640</v>
      </c>
      <c r="BG22" s="246">
        <f>IF(AX20="","",RANK(BF20:BF22,BF20:BF22,0))</f>
        <v>3</v>
      </c>
    </row>
    <row r="23" spans="1:59" s="200" customFormat="1" ht="8.25" customHeight="1" thickBot="1" x14ac:dyDescent="0.2">
      <c r="A23" s="247"/>
      <c r="B23" s="247"/>
      <c r="C23" s="247"/>
      <c r="D23" s="247"/>
      <c r="E23" s="248"/>
      <c r="F23" s="247"/>
      <c r="G23" s="247"/>
      <c r="H23" s="247"/>
      <c r="I23" s="247"/>
      <c r="J23" s="247"/>
      <c r="K23" s="247"/>
      <c r="L23" s="247"/>
      <c r="M23" s="247"/>
      <c r="N23" s="248"/>
      <c r="O23" s="248"/>
      <c r="P23" s="247"/>
      <c r="Q23" s="247"/>
      <c r="R23" s="248"/>
      <c r="S23" s="247"/>
      <c r="U23" s="247"/>
      <c r="V23" s="247"/>
      <c r="W23" s="247"/>
      <c r="X23" s="247"/>
      <c r="Y23" s="248"/>
      <c r="Z23" s="247"/>
      <c r="AA23" s="247"/>
      <c r="AB23" s="247"/>
      <c r="AC23" s="247"/>
      <c r="AD23" s="247"/>
      <c r="AE23" s="247"/>
      <c r="AF23" s="247"/>
      <c r="AG23" s="247"/>
      <c r="AH23" s="248"/>
      <c r="AI23" s="248"/>
      <c r="AJ23" s="249"/>
      <c r="AK23" s="247"/>
      <c r="AL23" s="248"/>
      <c r="AM23" s="247"/>
      <c r="AO23" s="250"/>
      <c r="AP23" s="250"/>
      <c r="AQ23" s="250"/>
      <c r="AR23" s="250"/>
      <c r="AS23" s="251"/>
      <c r="AT23" s="247"/>
      <c r="AU23" s="247"/>
      <c r="AV23" s="247"/>
      <c r="AW23" s="247"/>
      <c r="AX23" s="247"/>
      <c r="AY23" s="247"/>
      <c r="AZ23" s="250"/>
      <c r="BA23" s="250"/>
      <c r="BB23" s="251"/>
      <c r="BC23" s="251"/>
      <c r="BD23" s="250"/>
      <c r="BE23" s="247"/>
      <c r="BF23" s="248"/>
      <c r="BG23" s="252"/>
    </row>
    <row r="24" spans="1:59" s="200" customFormat="1" ht="12.75" thickBot="1" x14ac:dyDescent="0.2">
      <c r="A24" s="409">
        <v>5</v>
      </c>
      <c r="B24" s="410"/>
      <c r="C24" s="402" t="s">
        <v>90</v>
      </c>
      <c r="D24" s="403"/>
      <c r="E24" s="201" t="str">
        <f>E$4</f>
        <v>持点</v>
      </c>
      <c r="F24" s="202" t="str">
        <f>$A$5</f>
        <v>WRC</v>
      </c>
      <c r="G24" s="203"/>
      <c r="H24" s="204" t="str">
        <f>$A$6</f>
        <v>NRC</v>
      </c>
      <c r="I24" s="203"/>
      <c r="J24" s="204" t="str">
        <f>$A$7</f>
        <v>SBC</v>
      </c>
      <c r="K24" s="205"/>
      <c r="L24" s="203" t="s">
        <v>31</v>
      </c>
      <c r="M24" s="206" t="s">
        <v>73</v>
      </c>
      <c r="N24" s="407" t="s">
        <v>74</v>
      </c>
      <c r="O24" s="408"/>
      <c r="P24" s="206" t="s">
        <v>74</v>
      </c>
      <c r="Q24" s="207" t="s">
        <v>91</v>
      </c>
      <c r="R24" s="207" t="s">
        <v>85</v>
      </c>
      <c r="S24" s="208" t="s">
        <v>75</v>
      </c>
      <c r="U24" s="409">
        <v>5</v>
      </c>
      <c r="V24" s="410"/>
      <c r="W24" s="402" t="s">
        <v>90</v>
      </c>
      <c r="X24" s="403"/>
      <c r="Y24" s="201" t="str">
        <f>$E$4</f>
        <v>持点</v>
      </c>
      <c r="Z24" s="202" t="str">
        <f>$A$5</f>
        <v>WRC</v>
      </c>
      <c r="AA24" s="203"/>
      <c r="AB24" s="204" t="str">
        <f>$A$6</f>
        <v>NRC</v>
      </c>
      <c r="AC24" s="203"/>
      <c r="AD24" s="204" t="str">
        <f>$A$7</f>
        <v>SBC</v>
      </c>
      <c r="AE24" s="205"/>
      <c r="AF24" s="203" t="s">
        <v>31</v>
      </c>
      <c r="AG24" s="206" t="s">
        <v>73</v>
      </c>
      <c r="AH24" s="407" t="s">
        <v>74</v>
      </c>
      <c r="AI24" s="408"/>
      <c r="AJ24" s="209" t="s">
        <v>74</v>
      </c>
      <c r="AK24" s="207" t="s">
        <v>91</v>
      </c>
      <c r="AL24" s="207" t="s">
        <v>85</v>
      </c>
      <c r="AM24" s="208" t="s">
        <v>75</v>
      </c>
      <c r="AO24" s="409">
        <v>5</v>
      </c>
      <c r="AP24" s="410"/>
      <c r="AQ24" s="402" t="s">
        <v>90</v>
      </c>
      <c r="AR24" s="403"/>
      <c r="AS24" s="210" t="str">
        <f>$E$4</f>
        <v>持点</v>
      </c>
      <c r="AT24" s="202" t="str">
        <f>$A$5</f>
        <v>WRC</v>
      </c>
      <c r="AU24" s="203"/>
      <c r="AV24" s="204" t="str">
        <f>$A$6</f>
        <v>NRC</v>
      </c>
      <c r="AW24" s="203"/>
      <c r="AX24" s="204" t="str">
        <f>$A$7</f>
        <v>SBC</v>
      </c>
      <c r="AY24" s="205"/>
      <c r="AZ24" s="211" t="s">
        <v>31</v>
      </c>
      <c r="BA24" s="212" t="s">
        <v>73</v>
      </c>
      <c r="BB24" s="407" t="s">
        <v>74</v>
      </c>
      <c r="BC24" s="408"/>
      <c r="BD24" s="212" t="s">
        <v>74</v>
      </c>
      <c r="BE24" s="207" t="s">
        <v>91</v>
      </c>
      <c r="BF24" s="207" t="s">
        <v>85</v>
      </c>
      <c r="BG24" s="213" t="s">
        <v>75</v>
      </c>
    </row>
    <row r="25" spans="1:59" s="200" customFormat="1" ht="12.75" thickTop="1" x14ac:dyDescent="0.15">
      <c r="A25" s="393" t="str">
        <f>$A$5</f>
        <v>WRC</v>
      </c>
      <c r="B25" s="394"/>
      <c r="C25" s="395" t="str">
        <f>【進行】結果入力表!D11</f>
        <v>中本　雅大</v>
      </c>
      <c r="D25" s="396"/>
      <c r="E25" s="214">
        <f>【準備】登録!R11</f>
        <v>180</v>
      </c>
      <c r="F25" s="397"/>
      <c r="G25" s="398"/>
      <c r="H25" s="399" t="str">
        <f>IF(【進行】結果入力表!F19="","",【進行】結果入力表!F19)</f>
        <v>w</v>
      </c>
      <c r="I25" s="400"/>
      <c r="J25" s="399">
        <f>IF(【進行】結果入力表!F11="","",【進行】結果入力表!F11)</f>
        <v>53</v>
      </c>
      <c r="K25" s="401"/>
      <c r="L25" s="215">
        <f>IF(J25="","",COUNTIF(F25:K25,"w"))</f>
        <v>1</v>
      </c>
      <c r="M25" s="216">
        <f>IF(J25="","",COUNT(H25,J25))</f>
        <v>1</v>
      </c>
      <c r="N25" s="391">
        <f>SUM(F25:K25)+L25*E25</f>
        <v>233</v>
      </c>
      <c r="O25" s="392"/>
      <c r="P25" s="216">
        <f>IF(J25="","",N25/E25*180)</f>
        <v>233</v>
      </c>
      <c r="Q25" s="217">
        <f>IF(F26="w",180,F26/E25*180)+IF(F27="w",180,F27/E25*180)</f>
        <v>306</v>
      </c>
      <c r="R25" s="217">
        <f>L25*10000000+P25*L10024*10000000+P25*1000-Q25</f>
        <v>10232694</v>
      </c>
      <c r="S25" s="218">
        <f>IF(J25="","",RANK(R25:R27,R25:R27,0))</f>
        <v>2</v>
      </c>
      <c r="U25" s="393" t="str">
        <f>$A$5</f>
        <v>WRC</v>
      </c>
      <c r="V25" s="394"/>
      <c r="W25" s="395" t="str">
        <f>【進行】結果入力表!D43</f>
        <v>杉本　博章</v>
      </c>
      <c r="X25" s="396"/>
      <c r="Y25" s="214">
        <f>【準備】登録!L11</f>
        <v>180</v>
      </c>
      <c r="Z25" s="397"/>
      <c r="AA25" s="398"/>
      <c r="AB25" s="399" t="str">
        <f>IF(【進行】結果入力表!F43="","",【進行】結果入力表!F43)</f>
        <v>w</v>
      </c>
      <c r="AC25" s="400"/>
      <c r="AD25" s="399" t="str">
        <f>IF(【進行】結果入力表!F35="","",【進行】結果入力表!F35)</f>
        <v>w</v>
      </c>
      <c r="AE25" s="401"/>
      <c r="AF25" s="215">
        <f>IF(AD25="","",COUNTIF(Z25:AE25,"w"))</f>
        <v>2</v>
      </c>
      <c r="AG25" s="216">
        <f>IF(AD25="","",COUNT(AB25,AD25))</f>
        <v>0</v>
      </c>
      <c r="AH25" s="391">
        <f>SUM(Z25:AE25)+AF25*Y25</f>
        <v>360</v>
      </c>
      <c r="AI25" s="392"/>
      <c r="AJ25" s="219">
        <f>IF(AD25="","",AH25/Y25*180)</f>
        <v>360</v>
      </c>
      <c r="AK25" s="217">
        <f>IF(Z26="w",180,Z26/Y25*180)+IF(Z27="w",180,Z27/Y25*180)</f>
        <v>68</v>
      </c>
      <c r="AL25" s="217">
        <f>AF25*10000000+AJ25*AF10024*10000000+AJ25*1000-AK25</f>
        <v>20359932</v>
      </c>
      <c r="AM25" s="218">
        <f>IF(AD25="","",RANK(AL25:AL27,AL25:AL27,0))</f>
        <v>1</v>
      </c>
      <c r="AO25" s="393" t="str">
        <f>$A$5</f>
        <v>WRC</v>
      </c>
      <c r="AP25" s="394"/>
      <c r="AQ25" s="395" t="str">
        <f>【進行】結果入力表!D67</f>
        <v>森田　憲</v>
      </c>
      <c r="AR25" s="396"/>
      <c r="AS25" s="220">
        <f>【準備】登録!F11</f>
        <v>180</v>
      </c>
      <c r="AT25" s="397"/>
      <c r="AU25" s="398"/>
      <c r="AV25" s="399" t="str">
        <f>IF(【進行】結果入力表!F67="","",【進行】結果入力表!F67)</f>
        <v>w</v>
      </c>
      <c r="AW25" s="400"/>
      <c r="AX25" s="399" t="str">
        <f>IF(【進行】結果入力表!F59="","",【進行】結果入力表!F59)</f>
        <v>w</v>
      </c>
      <c r="AY25" s="401"/>
      <c r="AZ25" s="221">
        <f>IF(AX25="","",COUNTIF(AT25:AY25,"w"))</f>
        <v>2</v>
      </c>
      <c r="BA25" s="222">
        <f>IF(AX25="","",COUNT(AV25,AX25))</f>
        <v>0</v>
      </c>
      <c r="BB25" s="391">
        <f>SUM(AT25:AY25)+AZ25*AS25</f>
        <v>360</v>
      </c>
      <c r="BC25" s="392"/>
      <c r="BD25" s="223">
        <f>IF(AX25="","",BB25/AS25*180)</f>
        <v>360</v>
      </c>
      <c r="BE25" s="217">
        <f>IF(AT26="w",180,AT26/AS25*180)+IF(AT27="w",180,AT27/AS25*180)</f>
        <v>67</v>
      </c>
      <c r="BF25" s="217">
        <f>AZ25*10000000+BD25*AZ10024*10000000+BD25*1000-BE25</f>
        <v>20359933</v>
      </c>
      <c r="BG25" s="224">
        <f>IF(AX25="","",RANK(BF25:BF27,BF25:BF27,0))</f>
        <v>1</v>
      </c>
    </row>
    <row r="26" spans="1:59" s="200" customFormat="1" ht="12" x14ac:dyDescent="0.15">
      <c r="A26" s="385" t="str">
        <f>$A$6</f>
        <v>NRC</v>
      </c>
      <c r="B26" s="386"/>
      <c r="C26" s="387" t="str">
        <f>【進行】結果入力表!I19</f>
        <v>斎藤　大輔</v>
      </c>
      <c r="D26" s="388"/>
      <c r="E26" s="225">
        <f>【準備】登録!R12</f>
        <v>180</v>
      </c>
      <c r="F26" s="389">
        <f>IF(【進行】結果入力表!G19="","",【進行】結果入力表!G19)</f>
        <v>126</v>
      </c>
      <c r="G26" s="390"/>
      <c r="H26" s="379"/>
      <c r="I26" s="380"/>
      <c r="J26" s="381">
        <f>IF(【進行】結果入力表!F27="","",【進行】結果入力表!F27)</f>
        <v>126</v>
      </c>
      <c r="K26" s="382"/>
      <c r="L26" s="226">
        <f>IF(J25="","",COUNTIF(F26:K26,"w"))</f>
        <v>0</v>
      </c>
      <c r="M26" s="227">
        <f>IF(J25="","",COUNT(F26,J26))</f>
        <v>2</v>
      </c>
      <c r="N26" s="383">
        <f>SUM(F26:K26)+L26*E26</f>
        <v>252</v>
      </c>
      <c r="O26" s="384"/>
      <c r="P26" s="227">
        <f>IF(J25="","",N26/E26*180)</f>
        <v>251.99999999999997</v>
      </c>
      <c r="Q26" s="228">
        <f>IF(H25="w",180,H25/E26*180)+IF(H27="w",180,H27/E26*180)</f>
        <v>360</v>
      </c>
      <c r="R26" s="228">
        <f>L26*10000000+P26*L10025*10000000+P26*1000-Q26</f>
        <v>251639.99999999997</v>
      </c>
      <c r="S26" s="229">
        <f>IF(J25="","",RANK(R25:R27,R25:R27,0))</f>
        <v>3</v>
      </c>
      <c r="U26" s="385" t="str">
        <f>$A$6</f>
        <v>NRC</v>
      </c>
      <c r="V26" s="386"/>
      <c r="W26" s="387" t="str">
        <f>【進行】結果入力表!I43</f>
        <v>岩本　剛</v>
      </c>
      <c r="X26" s="388"/>
      <c r="Y26" s="225">
        <f>【準備】登録!O12</f>
        <v>180</v>
      </c>
      <c r="Z26" s="389">
        <f>IF(【進行】結果入力表!G43="","",【進行】結果入力表!G43)</f>
        <v>21</v>
      </c>
      <c r="AA26" s="390"/>
      <c r="AB26" s="379"/>
      <c r="AC26" s="380"/>
      <c r="AD26" s="381" t="str">
        <f>IF(【進行】結果入力表!F51="","",【進行】結果入力表!F51)</f>
        <v>w</v>
      </c>
      <c r="AE26" s="382"/>
      <c r="AF26" s="226">
        <f>IF(AD25="","",COUNTIF(Z26:AE26,"w"))</f>
        <v>1</v>
      </c>
      <c r="AG26" s="227">
        <f>IF(AD25="","",COUNT(Z26,AD26))</f>
        <v>1</v>
      </c>
      <c r="AH26" s="383">
        <f>SUM(Z26:AE26)+AF26*Y26</f>
        <v>201</v>
      </c>
      <c r="AI26" s="384"/>
      <c r="AJ26" s="230">
        <f>IF(AD25="","",AH26/Y26*180)</f>
        <v>201</v>
      </c>
      <c r="AK26" s="228">
        <f>IF(AB25="w",180,AB25/Y26*180)+IF(AB27="w",180,AB27/Y26*180)</f>
        <v>283</v>
      </c>
      <c r="AL26" s="228">
        <f>AF26*10000000+AJ26*AF10025*10000000+AJ26*1000-AK26</f>
        <v>10200717</v>
      </c>
      <c r="AM26" s="229">
        <f>IF(AD25="","",RANK(AL25:AL27,AL25:AL27,0))</f>
        <v>2</v>
      </c>
      <c r="AO26" s="385" t="str">
        <f>$A$6</f>
        <v>NRC</v>
      </c>
      <c r="AP26" s="386"/>
      <c r="AQ26" s="387" t="str">
        <f>【進行】結果入力表!I67</f>
        <v>植田　慎也</v>
      </c>
      <c r="AR26" s="388"/>
      <c r="AS26" s="231">
        <f>【準備】登録!L12</f>
        <v>180</v>
      </c>
      <c r="AT26" s="389">
        <f>IF(【進行】結果入力表!G67="","",【進行】結果入力表!G67)</f>
        <v>20</v>
      </c>
      <c r="AU26" s="390"/>
      <c r="AV26" s="379"/>
      <c r="AW26" s="380"/>
      <c r="AX26" s="381" t="str">
        <f>IF(【進行】結果入力表!F75="","",【進行】結果入力表!F75)</f>
        <v>w</v>
      </c>
      <c r="AY26" s="382"/>
      <c r="AZ26" s="232">
        <f>IF(AX25="","",COUNTIF(AT26:AY26,"w"))</f>
        <v>1</v>
      </c>
      <c r="BA26" s="233">
        <f>IF(AX25="","",COUNT(AT26,AX26))</f>
        <v>1</v>
      </c>
      <c r="BB26" s="383">
        <f>SUM(AT26:AY26)+AZ26*AS26</f>
        <v>200</v>
      </c>
      <c r="BC26" s="384"/>
      <c r="BD26" s="234">
        <f>IF(AX25="","",BB26/AS26*180)</f>
        <v>200</v>
      </c>
      <c r="BE26" s="228">
        <f>IF(AV25="w",180,AV25/AS26*180)+IF(AV27="w",180,AV27/AS26*180)</f>
        <v>308</v>
      </c>
      <c r="BF26" s="228">
        <f>AZ26*10000000+BD26*AZ10025*10000000+BD26*1000-BE26</f>
        <v>10199692</v>
      </c>
      <c r="BG26" s="235">
        <f>IF(AX25="","",RANK(BF25:BF27,BF25:BF27,0))</f>
        <v>2</v>
      </c>
    </row>
    <row r="27" spans="1:59" s="200" customFormat="1" ht="12.75" thickBot="1" x14ac:dyDescent="0.2">
      <c r="A27" s="377" t="str">
        <f>$A$7</f>
        <v>SBC</v>
      </c>
      <c r="B27" s="378"/>
      <c r="C27" s="368" t="str">
        <f>【進行】結果入力表!I11</f>
        <v>柳川　哲也</v>
      </c>
      <c r="D27" s="369"/>
      <c r="E27" s="236">
        <f>【準備】登録!R13</f>
        <v>180</v>
      </c>
      <c r="F27" s="370" t="str">
        <f>IF(【進行】結果入力表!G11="","",【進行】結果入力表!G11)</f>
        <v>w</v>
      </c>
      <c r="G27" s="371"/>
      <c r="H27" s="372" t="str">
        <f>IF(【進行】結果入力表!G27="","",【進行】結果入力表!G27)</f>
        <v>w</v>
      </c>
      <c r="I27" s="371"/>
      <c r="J27" s="373"/>
      <c r="K27" s="374"/>
      <c r="L27" s="237">
        <f>IF(J25="","",COUNTIF(F27:K27,"w"))</f>
        <v>2</v>
      </c>
      <c r="M27" s="238">
        <f>IF(J25="","",COUNT(F27,H27))</f>
        <v>0</v>
      </c>
      <c r="N27" s="375">
        <f>SUM(F27:K27)+L27*E27</f>
        <v>360</v>
      </c>
      <c r="O27" s="376"/>
      <c r="P27" s="238">
        <f>IF(J25="","",N27/E27*180)</f>
        <v>360</v>
      </c>
      <c r="Q27" s="239">
        <f>IF(J25="w",180,J25/E27*180)+IF(J26="w",180,J26/E27*180)</f>
        <v>179</v>
      </c>
      <c r="R27" s="239">
        <f>L27*10000000+P27*L10026*10000000+P27*1000-Q27</f>
        <v>20359821</v>
      </c>
      <c r="S27" s="240">
        <f>IF(J25="","",RANK(R25:R27,R25:R27,0))</f>
        <v>1</v>
      </c>
      <c r="U27" s="377" t="str">
        <f>$A$7</f>
        <v>SBC</v>
      </c>
      <c r="V27" s="378"/>
      <c r="W27" s="368" t="str">
        <f>【進行】結果入力表!I35</f>
        <v>柳川　哲也</v>
      </c>
      <c r="X27" s="369"/>
      <c r="Y27" s="236">
        <f>【準備】登録!R13</f>
        <v>180</v>
      </c>
      <c r="Z27" s="370">
        <f>IF(【進行】結果入力表!G35="","",【進行】結果入力表!G35)</f>
        <v>47</v>
      </c>
      <c r="AA27" s="371"/>
      <c r="AB27" s="372">
        <f>IF(【進行】結果入力表!G51="","",【進行】結果入力表!G51)</f>
        <v>103</v>
      </c>
      <c r="AC27" s="371"/>
      <c r="AD27" s="373"/>
      <c r="AE27" s="374"/>
      <c r="AF27" s="237">
        <f>IF(AD25="","",COUNTIF(Z27:AE27,"w"))</f>
        <v>0</v>
      </c>
      <c r="AG27" s="238">
        <f>IF(AD25="","",COUNT(Z27,AB27))</f>
        <v>2</v>
      </c>
      <c r="AH27" s="375">
        <f>SUM(Z27:AE27)+AF27*Y27</f>
        <v>150</v>
      </c>
      <c r="AI27" s="376"/>
      <c r="AJ27" s="241">
        <f>IF(AD25="","",AH27/Y27*180)</f>
        <v>150</v>
      </c>
      <c r="AK27" s="239">
        <f>IF(AD25="w",180,AD25/Y27*180)+IF(AD26="w",180,AD26/Y27*180)</f>
        <v>360</v>
      </c>
      <c r="AL27" s="239">
        <f>AF27*10000000+AJ27*AF10026*10000000+AJ27*1000-AK27</f>
        <v>149640</v>
      </c>
      <c r="AM27" s="240">
        <f>IF(AD25="","",RANK(AL25:AL27,AL25:AL27,0))</f>
        <v>3</v>
      </c>
      <c r="AO27" s="377" t="str">
        <f>$A$7</f>
        <v>SBC</v>
      </c>
      <c r="AP27" s="378"/>
      <c r="AQ27" s="368" t="str">
        <f>【進行】結果入力表!I59</f>
        <v>柳川　哲也</v>
      </c>
      <c r="AR27" s="369"/>
      <c r="AS27" s="242">
        <f>【準備】登録!R13</f>
        <v>180</v>
      </c>
      <c r="AT27" s="370">
        <f>IF(【進行】結果入力表!G59="","",【進行】結果入力表!G59)</f>
        <v>47</v>
      </c>
      <c r="AU27" s="371"/>
      <c r="AV27" s="372">
        <f>IF(【進行】結果入力表!G75="","",【進行】結果入力表!G75)</f>
        <v>128</v>
      </c>
      <c r="AW27" s="371"/>
      <c r="AX27" s="373"/>
      <c r="AY27" s="374"/>
      <c r="AZ27" s="243">
        <f>IF(AX25="","",COUNTIF(AT27:AY27,"w"))</f>
        <v>0</v>
      </c>
      <c r="BA27" s="244">
        <f>IF(AX25="","",COUNT(AT27,AV27))</f>
        <v>2</v>
      </c>
      <c r="BB27" s="375">
        <f>SUM(AT27:AY27)+AZ27*AS27</f>
        <v>175</v>
      </c>
      <c r="BC27" s="376"/>
      <c r="BD27" s="245">
        <f>IF(AX25="","",BB27/AS27*180)</f>
        <v>175</v>
      </c>
      <c r="BE27" s="239">
        <f>IF(AX25="w",180,AX25/AS27*180)+IF(AX26="w",180,AX26/AS27*180)</f>
        <v>360</v>
      </c>
      <c r="BF27" s="239">
        <f>AZ27*10000000+BD27*AZ10026*10000000+BD27*1000-BE27</f>
        <v>174640</v>
      </c>
      <c r="BG27" s="246">
        <f>IF(AX25="","",RANK(BF25:BF27,BF25:BF27,0))</f>
        <v>3</v>
      </c>
    </row>
    <row r="28" spans="1:59" s="200" customFormat="1" ht="8.25" customHeight="1" thickBot="1" x14ac:dyDescent="0.2">
      <c r="A28" s="247"/>
      <c r="B28" s="247"/>
      <c r="C28" s="247"/>
      <c r="D28" s="247"/>
      <c r="E28" s="248"/>
      <c r="F28" s="247"/>
      <c r="G28" s="247"/>
      <c r="H28" s="247"/>
      <c r="I28" s="247"/>
      <c r="J28" s="247"/>
      <c r="K28" s="247"/>
      <c r="L28" s="247"/>
      <c r="M28" s="247"/>
      <c r="N28" s="248"/>
      <c r="O28" s="248"/>
      <c r="P28" s="247"/>
      <c r="Q28" s="247"/>
      <c r="R28" s="248"/>
      <c r="S28" s="247"/>
      <c r="U28" s="247"/>
      <c r="V28" s="247"/>
      <c r="W28" s="247"/>
      <c r="X28" s="247"/>
      <c r="Y28" s="248"/>
      <c r="Z28" s="247"/>
      <c r="AA28" s="247"/>
      <c r="AB28" s="247"/>
      <c r="AC28" s="247"/>
      <c r="AD28" s="247"/>
      <c r="AE28" s="247"/>
      <c r="AF28" s="247"/>
      <c r="AG28" s="247"/>
      <c r="AH28" s="248"/>
      <c r="AI28" s="248"/>
      <c r="AJ28" s="249"/>
      <c r="AK28" s="247"/>
      <c r="AL28" s="248"/>
      <c r="AM28" s="247"/>
      <c r="AO28" s="250"/>
      <c r="AP28" s="250"/>
      <c r="AQ28" s="250"/>
      <c r="AR28" s="250"/>
      <c r="AS28" s="251"/>
      <c r="AT28" s="247"/>
      <c r="AU28" s="247"/>
      <c r="AV28" s="247"/>
      <c r="AW28" s="247"/>
      <c r="AX28" s="247"/>
      <c r="AY28" s="247"/>
      <c r="AZ28" s="250"/>
      <c r="BA28" s="250"/>
      <c r="BB28" s="251"/>
      <c r="BC28" s="251"/>
      <c r="BD28" s="250"/>
      <c r="BE28" s="247"/>
      <c r="BF28" s="248"/>
      <c r="BG28" s="252"/>
    </row>
    <row r="29" spans="1:59" s="200" customFormat="1" ht="12.75" thickBot="1" x14ac:dyDescent="0.2">
      <c r="A29" s="409">
        <v>6</v>
      </c>
      <c r="B29" s="410"/>
      <c r="C29" s="402" t="s">
        <v>90</v>
      </c>
      <c r="D29" s="403"/>
      <c r="E29" s="201" t="str">
        <f>E$4</f>
        <v>持点</v>
      </c>
      <c r="F29" s="202" t="str">
        <f>$A$5</f>
        <v>WRC</v>
      </c>
      <c r="G29" s="203"/>
      <c r="H29" s="204" t="str">
        <f>$A$6</f>
        <v>NRC</v>
      </c>
      <c r="I29" s="203"/>
      <c r="J29" s="204" t="str">
        <f>$A$7</f>
        <v>SBC</v>
      </c>
      <c r="K29" s="205"/>
      <c r="L29" s="203" t="s">
        <v>31</v>
      </c>
      <c r="M29" s="206" t="s">
        <v>73</v>
      </c>
      <c r="N29" s="407" t="s">
        <v>74</v>
      </c>
      <c r="O29" s="408"/>
      <c r="P29" s="206" t="s">
        <v>74</v>
      </c>
      <c r="Q29" s="207" t="s">
        <v>91</v>
      </c>
      <c r="R29" s="207" t="s">
        <v>85</v>
      </c>
      <c r="S29" s="208" t="s">
        <v>75</v>
      </c>
      <c r="U29" s="409">
        <v>6</v>
      </c>
      <c r="V29" s="410"/>
      <c r="W29" s="402" t="s">
        <v>90</v>
      </c>
      <c r="X29" s="403"/>
      <c r="Y29" s="201" t="str">
        <f>$E$4</f>
        <v>持点</v>
      </c>
      <c r="Z29" s="202" t="str">
        <f>$A$5</f>
        <v>WRC</v>
      </c>
      <c r="AA29" s="203"/>
      <c r="AB29" s="204" t="str">
        <f>$A$6</f>
        <v>NRC</v>
      </c>
      <c r="AC29" s="203"/>
      <c r="AD29" s="204" t="str">
        <f>$A$7</f>
        <v>SBC</v>
      </c>
      <c r="AE29" s="205"/>
      <c r="AF29" s="203" t="s">
        <v>31</v>
      </c>
      <c r="AG29" s="206" t="s">
        <v>73</v>
      </c>
      <c r="AH29" s="407" t="s">
        <v>74</v>
      </c>
      <c r="AI29" s="408"/>
      <c r="AJ29" s="209" t="s">
        <v>74</v>
      </c>
      <c r="AK29" s="207" t="s">
        <v>91</v>
      </c>
      <c r="AL29" s="207" t="s">
        <v>85</v>
      </c>
      <c r="AM29" s="208" t="s">
        <v>75</v>
      </c>
      <c r="AO29" s="409">
        <v>6</v>
      </c>
      <c r="AP29" s="410"/>
      <c r="AQ29" s="402" t="s">
        <v>90</v>
      </c>
      <c r="AR29" s="403"/>
      <c r="AS29" s="210" t="str">
        <f>$E$4</f>
        <v>持点</v>
      </c>
      <c r="AT29" s="202" t="str">
        <f>$A$5</f>
        <v>WRC</v>
      </c>
      <c r="AU29" s="203"/>
      <c r="AV29" s="204" t="str">
        <f>$A$6</f>
        <v>NRC</v>
      </c>
      <c r="AW29" s="203"/>
      <c r="AX29" s="204" t="str">
        <f>$A$7</f>
        <v>SBC</v>
      </c>
      <c r="AY29" s="205"/>
      <c r="AZ29" s="211" t="s">
        <v>31</v>
      </c>
      <c r="BA29" s="212" t="s">
        <v>73</v>
      </c>
      <c r="BB29" s="407" t="s">
        <v>74</v>
      </c>
      <c r="BC29" s="408"/>
      <c r="BD29" s="212" t="s">
        <v>74</v>
      </c>
      <c r="BE29" s="207" t="s">
        <v>91</v>
      </c>
      <c r="BF29" s="207" t="s">
        <v>85</v>
      </c>
      <c r="BG29" s="213" t="s">
        <v>75</v>
      </c>
    </row>
    <row r="30" spans="1:59" s="200" customFormat="1" ht="12.75" thickTop="1" x14ac:dyDescent="0.15">
      <c r="A30" s="393" t="str">
        <f>$A$5</f>
        <v>WRC</v>
      </c>
      <c r="B30" s="394"/>
      <c r="C30" s="395" t="str">
        <f>【進行】結果入力表!D12</f>
        <v>大迫　忠典</v>
      </c>
      <c r="D30" s="396"/>
      <c r="E30" s="214">
        <f>【準備】登録!U11</f>
        <v>180</v>
      </c>
      <c r="F30" s="397"/>
      <c r="G30" s="398"/>
      <c r="H30" s="399">
        <f>IF(【進行】結果入力表!F20="","",【進行】結果入力表!F20)</f>
        <v>152</v>
      </c>
      <c r="I30" s="400"/>
      <c r="J30" s="399">
        <f>IF(【進行】結果入力表!F12="","",【進行】結果入力表!F12)</f>
        <v>11</v>
      </c>
      <c r="K30" s="401"/>
      <c r="L30" s="215">
        <f>IF(J30="","",COUNTIF(F30:K30,"w"))</f>
        <v>0</v>
      </c>
      <c r="M30" s="216">
        <f>IF(J30="","",COUNT(H30,J30))</f>
        <v>2</v>
      </c>
      <c r="N30" s="391">
        <f>SUM(F30:K30)+L30*E30</f>
        <v>163</v>
      </c>
      <c r="O30" s="392"/>
      <c r="P30" s="219">
        <f>IF(J30="","",N30/E30*180)</f>
        <v>163</v>
      </c>
      <c r="Q30" s="217">
        <f>IF(F31="w",180,F31/E30*180)+IF(F32="w",180,F32/E30*180)</f>
        <v>360</v>
      </c>
      <c r="R30" s="217">
        <f>L30*10000000+P30*L10029*10000000+P30*1000-Q30</f>
        <v>162640</v>
      </c>
      <c r="S30" s="218">
        <f>IF(J30="","",RANK(R30:R32,R30:R32,0))</f>
        <v>3</v>
      </c>
      <c r="U30" s="393" t="str">
        <f>$A$5</f>
        <v>WRC</v>
      </c>
      <c r="V30" s="394"/>
      <c r="W30" s="395" t="str">
        <f>【進行】結果入力表!D44</f>
        <v>末岡　修</v>
      </c>
      <c r="X30" s="396"/>
      <c r="Y30" s="214">
        <f>【準備】登録!O11</f>
        <v>180</v>
      </c>
      <c r="Z30" s="397"/>
      <c r="AA30" s="398"/>
      <c r="AB30" s="399" t="str">
        <f>IF(【進行】結果入力表!F44="","",【進行】結果入力表!F44)</f>
        <v>w</v>
      </c>
      <c r="AC30" s="400"/>
      <c r="AD30" s="399">
        <f>IF(【進行】結果入力表!F36="","",【進行】結果入力表!F36)</f>
        <v>105</v>
      </c>
      <c r="AE30" s="401"/>
      <c r="AF30" s="215">
        <f>IF(AD30="","",COUNTIF(Z30:AE30,"w"))</f>
        <v>1</v>
      </c>
      <c r="AG30" s="216">
        <f>IF(AD30="","",COUNT(AB30,AD30))</f>
        <v>1</v>
      </c>
      <c r="AH30" s="391">
        <f>SUM(Z30:AE30)+AF30*Y30</f>
        <v>285</v>
      </c>
      <c r="AI30" s="392"/>
      <c r="AJ30" s="219">
        <f>IF(AD30="","",AH30/Y30*180)</f>
        <v>285</v>
      </c>
      <c r="AK30" s="217">
        <f>IF(Z31="w",180,Z31/Y30*180)+IF(Z32="w",180,Z32/Y30*180)</f>
        <v>226</v>
      </c>
      <c r="AL30" s="217">
        <f>AF30*10000000+AJ30*AF10029*10000000+AJ30*1000-AK30</f>
        <v>10284774</v>
      </c>
      <c r="AM30" s="218">
        <f>IF(AD30="","",RANK(AL30:AL32,AL30:AL32,0))</f>
        <v>2</v>
      </c>
      <c r="AO30" s="393" t="str">
        <f>$A$5</f>
        <v>WRC</v>
      </c>
      <c r="AP30" s="394"/>
      <c r="AQ30" s="395" t="str">
        <f>【進行】結果入力表!D68</f>
        <v>和田　宗一郎</v>
      </c>
      <c r="AR30" s="396"/>
      <c r="AS30" s="220">
        <f>【準備】登録!I11</f>
        <v>180</v>
      </c>
      <c r="AT30" s="397"/>
      <c r="AU30" s="398"/>
      <c r="AV30" s="399" t="str">
        <f>IF(【進行】結果入力表!F68="","",【進行】結果入力表!F68)</f>
        <v>w</v>
      </c>
      <c r="AW30" s="400"/>
      <c r="AX30" s="399" t="str">
        <f>IF(【進行】結果入力表!F60="","",【進行】結果入力表!F60)</f>
        <v>w</v>
      </c>
      <c r="AY30" s="401"/>
      <c r="AZ30" s="221">
        <f>IF(AX30="","",COUNTIF(AT30:AY30,"w"))</f>
        <v>2</v>
      </c>
      <c r="BA30" s="222">
        <f>IF(AX30="","",COUNT(AV30,AX30))</f>
        <v>0</v>
      </c>
      <c r="BB30" s="391">
        <f>SUM(AT30:AY30)+AZ30*AS30</f>
        <v>360</v>
      </c>
      <c r="BC30" s="392"/>
      <c r="BD30" s="223">
        <f>IF(AX30="","",BB30/AS30*180)</f>
        <v>360</v>
      </c>
      <c r="BE30" s="217">
        <f>IF(AT31="w",180,AT31/AS30*180)+IF(AT32="w",180,AT32/AS30*180)</f>
        <v>100</v>
      </c>
      <c r="BF30" s="217">
        <f>AZ30*10000000+BD30*AZ10029*10000000+BD30*1000-BE30</f>
        <v>20359900</v>
      </c>
      <c r="BG30" s="224">
        <f>IF(AX30="","",RANK(BF30:BF32,BF30:BF32,0))</f>
        <v>1</v>
      </c>
    </row>
    <row r="31" spans="1:59" s="200" customFormat="1" ht="12" x14ac:dyDescent="0.15">
      <c r="A31" s="385" t="str">
        <f>$A$6</f>
        <v>NRC</v>
      </c>
      <c r="B31" s="386"/>
      <c r="C31" s="387" t="str">
        <f>【進行】結果入力表!I20</f>
        <v>長谷川　進</v>
      </c>
      <c r="D31" s="388"/>
      <c r="E31" s="225">
        <f>【準備】登録!U12</f>
        <v>180</v>
      </c>
      <c r="F31" s="389" t="str">
        <f>IF(【進行】結果入力表!G20="","",【進行】結果入力表!G20)</f>
        <v>w</v>
      </c>
      <c r="G31" s="390"/>
      <c r="H31" s="379"/>
      <c r="I31" s="380"/>
      <c r="J31" s="381">
        <f>IF(【進行】結果入力表!F28="","",【進行】結果入力表!F28)</f>
        <v>20</v>
      </c>
      <c r="K31" s="382"/>
      <c r="L31" s="226">
        <f>IF(J30="","",COUNTIF(F31:K31,"w"))</f>
        <v>1</v>
      </c>
      <c r="M31" s="227">
        <f>IF(J30="","",COUNT(F31,J31))</f>
        <v>1</v>
      </c>
      <c r="N31" s="383">
        <f>SUM(F31:K31)+L31*E31</f>
        <v>200</v>
      </c>
      <c r="O31" s="384"/>
      <c r="P31" s="227">
        <f>IF(J30="","",N31/E31*180)</f>
        <v>200</v>
      </c>
      <c r="Q31" s="228">
        <f>IF(H30="w",180,H30/E31*180)+IF(H32="w",180,H32/E31*180)</f>
        <v>332</v>
      </c>
      <c r="R31" s="228">
        <f>L31*10000000+P31*L10030*10000000+P31*1000-Q31</f>
        <v>10199668</v>
      </c>
      <c r="S31" s="229">
        <f>IF(J30="","",RANK(R30:R32,R30:R32,0))</f>
        <v>2</v>
      </c>
      <c r="U31" s="385" t="str">
        <f>$A$6</f>
        <v>NRC</v>
      </c>
      <c r="V31" s="386"/>
      <c r="W31" s="387" t="str">
        <f>【進行】結果入力表!I44</f>
        <v>斎藤　大輔</v>
      </c>
      <c r="X31" s="388"/>
      <c r="Y31" s="225">
        <f>【準備】登録!R12</f>
        <v>180</v>
      </c>
      <c r="Z31" s="389">
        <f>IF(【進行】結果入力表!G44="","",【進行】結果入力表!G44)</f>
        <v>46</v>
      </c>
      <c r="AA31" s="390"/>
      <c r="AB31" s="379"/>
      <c r="AC31" s="380"/>
      <c r="AD31" s="381">
        <f>IF(【進行】結果入力表!F52="","",【進行】結果入力表!F52)</f>
        <v>108</v>
      </c>
      <c r="AE31" s="382"/>
      <c r="AF31" s="226">
        <f>IF(AD30="","",COUNTIF(Z31:AE31,"w"))</f>
        <v>0</v>
      </c>
      <c r="AG31" s="227">
        <f>IF(AD30="","",COUNT(Z31,AD31))</f>
        <v>2</v>
      </c>
      <c r="AH31" s="383">
        <f>SUM(Z31:AE31)+AF31*Y31</f>
        <v>154</v>
      </c>
      <c r="AI31" s="384"/>
      <c r="AJ31" s="230">
        <f>IF(AD30="","",AH31/Y31*180)</f>
        <v>154</v>
      </c>
      <c r="AK31" s="228">
        <f>IF(AB30="w",180,AB30/Y31*180)+IF(AB32="w",180,AB32/Y31*180)</f>
        <v>360</v>
      </c>
      <c r="AL31" s="228">
        <f>AF31*10000000+AJ31*AF10030*10000000+AJ31*1000-AK31</f>
        <v>153640</v>
      </c>
      <c r="AM31" s="229">
        <f>IF(AD30="","",RANK(AL30:AL32,AL30:AL32,0))</f>
        <v>3</v>
      </c>
      <c r="AO31" s="385" t="str">
        <f>$A$6</f>
        <v>NRC</v>
      </c>
      <c r="AP31" s="386"/>
      <c r="AQ31" s="387" t="str">
        <f>【進行】結果入力表!I68</f>
        <v>岩本　剛</v>
      </c>
      <c r="AR31" s="388"/>
      <c r="AS31" s="231">
        <f>【準備】登録!O12</f>
        <v>180</v>
      </c>
      <c r="AT31" s="389">
        <f>IF(【進行】結果入力表!G68="","",【進行】結果入力表!G68)</f>
        <v>59</v>
      </c>
      <c r="AU31" s="390"/>
      <c r="AV31" s="379"/>
      <c r="AW31" s="380"/>
      <c r="AX31" s="381" t="str">
        <f>IF(【進行】結果入力表!F76="","",【進行】結果入力表!F76)</f>
        <v>w</v>
      </c>
      <c r="AY31" s="382"/>
      <c r="AZ31" s="232">
        <f>IF(AX30="","",COUNTIF(AT31:AY31,"w"))</f>
        <v>1</v>
      </c>
      <c r="BA31" s="233">
        <f>IF(AX30="","",COUNT(AT31,AX31))</f>
        <v>1</v>
      </c>
      <c r="BB31" s="383">
        <f>SUM(AT31:AY31)+AZ31*AS31</f>
        <v>239</v>
      </c>
      <c r="BC31" s="384"/>
      <c r="BD31" s="234">
        <f>IF(AX30="","",BB31/AS31*180)</f>
        <v>239</v>
      </c>
      <c r="BE31" s="228">
        <f>IF(AV30="w",180,AV30/AS31*180)+IF(AV32="w",180,AV32/AS31*180)</f>
        <v>305</v>
      </c>
      <c r="BF31" s="228">
        <f>AZ31*10000000+BD31*AZ10030*10000000+BD31*1000-BE31</f>
        <v>10238695</v>
      </c>
      <c r="BG31" s="235">
        <f>IF(AX30="","",RANK(BF30:BF32,BF30:BF32,0))</f>
        <v>2</v>
      </c>
    </row>
    <row r="32" spans="1:59" s="200" customFormat="1" ht="12.75" thickBot="1" x14ac:dyDescent="0.2">
      <c r="A32" s="377" t="str">
        <f>$A$7</f>
        <v>SBC</v>
      </c>
      <c r="B32" s="378"/>
      <c r="C32" s="368" t="str">
        <f>【進行】結果入力表!I12</f>
        <v>大橋　正寛</v>
      </c>
      <c r="D32" s="369"/>
      <c r="E32" s="236">
        <f>【準備】登録!U13</f>
        <v>180</v>
      </c>
      <c r="F32" s="370" t="str">
        <f>IF(【進行】結果入力表!G12="","",【進行】結果入力表!G12)</f>
        <v>w</v>
      </c>
      <c r="G32" s="371"/>
      <c r="H32" s="372" t="str">
        <f>IF(【進行】結果入力表!G28="","",【進行】結果入力表!G28)</f>
        <v>w</v>
      </c>
      <c r="I32" s="371"/>
      <c r="J32" s="373"/>
      <c r="K32" s="374"/>
      <c r="L32" s="237">
        <f>IF(J30="","",COUNTIF(F32:K32,"w"))</f>
        <v>2</v>
      </c>
      <c r="M32" s="238">
        <f>IF(J30="","",COUNT(F32,H32))</f>
        <v>0</v>
      </c>
      <c r="N32" s="375">
        <f>SUM(F32:K32)+L32*E32</f>
        <v>360</v>
      </c>
      <c r="O32" s="376"/>
      <c r="P32" s="238">
        <f>IF(J30="","",N32/E32*180)</f>
        <v>360</v>
      </c>
      <c r="Q32" s="239">
        <f>IF(J30="w",180,J30/E32*180)+IF(J31="w",180,J31/E32*180)</f>
        <v>31</v>
      </c>
      <c r="R32" s="239">
        <f>L32*10000000+P32*L10031*10000000+P32*1000-Q32</f>
        <v>20359969</v>
      </c>
      <c r="S32" s="240">
        <f>IF(J30="","",RANK(R30:R32,R30:R32,0))</f>
        <v>1</v>
      </c>
      <c r="U32" s="377" t="str">
        <f>$A$7</f>
        <v>SBC</v>
      </c>
      <c r="V32" s="378"/>
      <c r="W32" s="368" t="str">
        <f>【進行】結果入力表!I36</f>
        <v>大橋　正寛</v>
      </c>
      <c r="X32" s="369"/>
      <c r="Y32" s="236">
        <f>【準備】登録!U13</f>
        <v>180</v>
      </c>
      <c r="Z32" s="370" t="str">
        <f>IF(【進行】結果入力表!G36="","",【進行】結果入力表!G36)</f>
        <v>w</v>
      </c>
      <c r="AA32" s="371"/>
      <c r="AB32" s="372" t="str">
        <f>IF(【進行】結果入力表!G52="","",【進行】結果入力表!G52)</f>
        <v>w</v>
      </c>
      <c r="AC32" s="371"/>
      <c r="AD32" s="373"/>
      <c r="AE32" s="374"/>
      <c r="AF32" s="237">
        <f>IF(AD30="","",COUNTIF(Z32:AE32,"w"))</f>
        <v>2</v>
      </c>
      <c r="AG32" s="238">
        <f>IF(AD30="","",COUNT(Z32,AB32))</f>
        <v>0</v>
      </c>
      <c r="AH32" s="375">
        <f>SUM(Z32:AE32)+AF32*Y32</f>
        <v>360</v>
      </c>
      <c r="AI32" s="376"/>
      <c r="AJ32" s="241">
        <f>IF(AD30="","",AH32/Y32*180)</f>
        <v>360</v>
      </c>
      <c r="AK32" s="239">
        <f>IF(AD30="w",180,AD30/Y32*180)+IF(AD31="w",180,AD31/Y32*180)</f>
        <v>213</v>
      </c>
      <c r="AL32" s="239">
        <f>AF32*10000000+AJ32*AF10031*10000000+AJ32*1000-AK32</f>
        <v>20359787</v>
      </c>
      <c r="AM32" s="240">
        <f>IF(AD30="","",RANK(AL30:AL32,AL30:AL32,0))</f>
        <v>1</v>
      </c>
      <c r="AO32" s="377" t="str">
        <f>$A$7</f>
        <v>SBC</v>
      </c>
      <c r="AP32" s="378"/>
      <c r="AQ32" s="368" t="str">
        <f>【進行】結果入力表!I60</f>
        <v>大橋　正寛</v>
      </c>
      <c r="AR32" s="369"/>
      <c r="AS32" s="242">
        <f>【準備】登録!U13</f>
        <v>180</v>
      </c>
      <c r="AT32" s="370">
        <f>IF(【進行】結果入力表!G60="","",【進行】結果入力表!G60)</f>
        <v>41</v>
      </c>
      <c r="AU32" s="371"/>
      <c r="AV32" s="372">
        <f>IF(【進行】結果入力表!G76="","",【進行】結果入力表!G76)</f>
        <v>125</v>
      </c>
      <c r="AW32" s="371"/>
      <c r="AX32" s="373"/>
      <c r="AY32" s="374"/>
      <c r="AZ32" s="243">
        <f>IF(AX30="","",COUNTIF(AT32:AY32,"w"))</f>
        <v>0</v>
      </c>
      <c r="BA32" s="244">
        <f>IF(AX30="","",COUNT(AT32,AV32))</f>
        <v>2</v>
      </c>
      <c r="BB32" s="375">
        <f>SUM(AT32:AY32)+AZ32*AS32</f>
        <v>166</v>
      </c>
      <c r="BC32" s="376"/>
      <c r="BD32" s="245">
        <f>IF(AX30="","",BB32/AS32*180)</f>
        <v>166</v>
      </c>
      <c r="BE32" s="239">
        <f>IF(AX30="w",180,AX30/AS32*180)+IF(AX31="w",180,AX31/AS32*180)</f>
        <v>360</v>
      </c>
      <c r="BF32" s="239">
        <f>AZ32*10000000+BD32*AZ10031*10000000+BD32*1000-BE32</f>
        <v>165640</v>
      </c>
      <c r="BG32" s="246">
        <f>IF(AX30="","",RANK(BF30:BF32,BF30:BF32,0))</f>
        <v>3</v>
      </c>
    </row>
    <row r="33" spans="1:59" s="200" customFormat="1" ht="8.25" customHeight="1" thickBot="1" x14ac:dyDescent="0.2">
      <c r="A33" s="247"/>
      <c r="B33" s="247"/>
      <c r="C33" s="247"/>
      <c r="D33" s="247"/>
      <c r="E33" s="248"/>
      <c r="F33" s="247"/>
      <c r="G33" s="247"/>
      <c r="H33" s="247"/>
      <c r="I33" s="247"/>
      <c r="J33" s="247"/>
      <c r="K33" s="247"/>
      <c r="L33" s="247"/>
      <c r="M33" s="247"/>
      <c r="N33" s="248"/>
      <c r="O33" s="248"/>
      <c r="P33" s="247"/>
      <c r="Q33" s="247"/>
      <c r="R33" s="248"/>
      <c r="S33" s="247"/>
      <c r="U33" s="247"/>
      <c r="V33" s="247"/>
      <c r="W33" s="247"/>
      <c r="X33" s="247"/>
      <c r="Y33" s="248"/>
      <c r="Z33" s="247"/>
      <c r="AA33" s="247"/>
      <c r="AB33" s="247"/>
      <c r="AC33" s="247"/>
      <c r="AD33" s="247"/>
      <c r="AE33" s="247"/>
      <c r="AF33" s="247"/>
      <c r="AG33" s="247"/>
      <c r="AH33" s="248"/>
      <c r="AI33" s="248"/>
      <c r="AJ33" s="249"/>
      <c r="AK33" s="247"/>
      <c r="AL33" s="248"/>
      <c r="AM33" s="247"/>
      <c r="AO33" s="250"/>
      <c r="AP33" s="250"/>
      <c r="AQ33" s="250"/>
      <c r="AR33" s="250"/>
      <c r="AS33" s="251"/>
      <c r="AT33" s="247"/>
      <c r="AU33" s="247"/>
      <c r="AV33" s="247"/>
      <c r="AW33" s="247"/>
      <c r="AX33" s="247"/>
      <c r="AY33" s="247"/>
      <c r="AZ33" s="250"/>
      <c r="BA33" s="250"/>
      <c r="BB33" s="251"/>
      <c r="BC33" s="251"/>
      <c r="BD33" s="250"/>
      <c r="BE33" s="247"/>
      <c r="BF33" s="248"/>
      <c r="BG33" s="252"/>
    </row>
    <row r="34" spans="1:59" s="200" customFormat="1" ht="12.75" thickBot="1" x14ac:dyDescent="0.2">
      <c r="A34" s="409">
        <v>7</v>
      </c>
      <c r="B34" s="410"/>
      <c r="C34" s="402" t="s">
        <v>90</v>
      </c>
      <c r="D34" s="403"/>
      <c r="E34" s="201" t="str">
        <f>E$4</f>
        <v>持点</v>
      </c>
      <c r="F34" s="202" t="str">
        <f>$A$5</f>
        <v>WRC</v>
      </c>
      <c r="G34" s="203"/>
      <c r="H34" s="204" t="str">
        <f>$A$6</f>
        <v>NRC</v>
      </c>
      <c r="I34" s="203"/>
      <c r="J34" s="204" t="str">
        <f>$A$7</f>
        <v>SBC</v>
      </c>
      <c r="K34" s="205"/>
      <c r="L34" s="203" t="s">
        <v>31</v>
      </c>
      <c r="M34" s="206" t="s">
        <v>73</v>
      </c>
      <c r="N34" s="407" t="s">
        <v>74</v>
      </c>
      <c r="O34" s="408"/>
      <c r="P34" s="206" t="s">
        <v>74</v>
      </c>
      <c r="Q34" s="207" t="s">
        <v>91</v>
      </c>
      <c r="R34" s="207" t="s">
        <v>85</v>
      </c>
      <c r="S34" s="208" t="s">
        <v>75</v>
      </c>
      <c r="U34" s="409">
        <v>7</v>
      </c>
      <c r="V34" s="410"/>
      <c r="W34" s="402" t="s">
        <v>90</v>
      </c>
      <c r="X34" s="403"/>
      <c r="Y34" s="201" t="str">
        <f>$E$4</f>
        <v>持点</v>
      </c>
      <c r="Z34" s="202" t="str">
        <f>$A$5</f>
        <v>WRC</v>
      </c>
      <c r="AA34" s="203"/>
      <c r="AB34" s="204" t="str">
        <f>$A$6</f>
        <v>NRC</v>
      </c>
      <c r="AC34" s="203"/>
      <c r="AD34" s="204" t="str">
        <f>$A$7</f>
        <v>SBC</v>
      </c>
      <c r="AE34" s="205"/>
      <c r="AF34" s="203" t="s">
        <v>31</v>
      </c>
      <c r="AG34" s="206" t="s">
        <v>73</v>
      </c>
      <c r="AH34" s="407" t="s">
        <v>74</v>
      </c>
      <c r="AI34" s="408"/>
      <c r="AJ34" s="209" t="s">
        <v>74</v>
      </c>
      <c r="AK34" s="207" t="s">
        <v>91</v>
      </c>
      <c r="AL34" s="207" t="s">
        <v>85</v>
      </c>
      <c r="AM34" s="208" t="s">
        <v>75</v>
      </c>
      <c r="AO34" s="409">
        <v>7</v>
      </c>
      <c r="AP34" s="410"/>
      <c r="AQ34" s="402" t="s">
        <v>90</v>
      </c>
      <c r="AR34" s="403"/>
      <c r="AS34" s="210" t="str">
        <f>$E$4</f>
        <v>持点</v>
      </c>
      <c r="AT34" s="202" t="str">
        <f>$A$5</f>
        <v>WRC</v>
      </c>
      <c r="AU34" s="203"/>
      <c r="AV34" s="204" t="str">
        <f>$A$6</f>
        <v>NRC</v>
      </c>
      <c r="AW34" s="203"/>
      <c r="AX34" s="204" t="str">
        <f>$A$7</f>
        <v>SBC</v>
      </c>
      <c r="AY34" s="205"/>
      <c r="AZ34" s="211" t="s">
        <v>31</v>
      </c>
      <c r="BA34" s="212" t="s">
        <v>73</v>
      </c>
      <c r="BB34" s="407" t="s">
        <v>74</v>
      </c>
      <c r="BC34" s="408"/>
      <c r="BD34" s="212" t="s">
        <v>74</v>
      </c>
      <c r="BE34" s="207" t="s">
        <v>91</v>
      </c>
      <c r="BF34" s="207" t="s">
        <v>85</v>
      </c>
      <c r="BG34" s="213" t="s">
        <v>75</v>
      </c>
    </row>
    <row r="35" spans="1:59" s="200" customFormat="1" ht="12.75" thickTop="1" x14ac:dyDescent="0.15">
      <c r="A35" s="393" t="str">
        <f>$A$5</f>
        <v>WRC</v>
      </c>
      <c r="B35" s="394"/>
      <c r="C35" s="395" t="str">
        <f>【進行】結果入力表!D13</f>
        <v>松房　ゆかり</v>
      </c>
      <c r="D35" s="396"/>
      <c r="E35" s="214">
        <f>【準備】登録!X11</f>
        <v>140</v>
      </c>
      <c r="F35" s="397"/>
      <c r="G35" s="398"/>
      <c r="H35" s="399" t="str">
        <f>IF(【進行】結果入力表!F21="","",【進行】結果入力表!F21)</f>
        <v>w</v>
      </c>
      <c r="I35" s="400"/>
      <c r="J35" s="399" t="str">
        <f>IF(【進行】結果入力表!F13="","",【進行】結果入力表!F13)</f>
        <v>w</v>
      </c>
      <c r="K35" s="401"/>
      <c r="L35" s="215">
        <f>IF(J35="","",COUNTIF(F35:K35,"w"))</f>
        <v>2</v>
      </c>
      <c r="M35" s="216">
        <f>IF(J35="","",COUNT(H35,J35))</f>
        <v>0</v>
      </c>
      <c r="N35" s="391">
        <f>SUM(F35:K35)+L35*E35</f>
        <v>280</v>
      </c>
      <c r="O35" s="392"/>
      <c r="P35" s="216">
        <f>IF(J35="","",N35/E35*180)</f>
        <v>360</v>
      </c>
      <c r="Q35" s="217">
        <f>IF(F36="w",180,F36/E35*180)+IF(F37="w",180,F37/E35*180)</f>
        <v>164.57142857142858</v>
      </c>
      <c r="R35" s="217">
        <f>L35*10000000+P35*L10034*10000000+P35*1000-Q35</f>
        <v>20359835.428571429</v>
      </c>
      <c r="S35" s="218">
        <f>IF(J35="","",RANK(R35:R37,R35:R37,0))</f>
        <v>1</v>
      </c>
      <c r="U35" s="393" t="str">
        <f>$A$5</f>
        <v>WRC</v>
      </c>
      <c r="V35" s="394"/>
      <c r="W35" s="395" t="str">
        <f>【進行】結果入力表!D45</f>
        <v>中本　雅大</v>
      </c>
      <c r="X35" s="396"/>
      <c r="Y35" s="214">
        <f>【準備】登録!R11</f>
        <v>180</v>
      </c>
      <c r="Z35" s="397"/>
      <c r="AA35" s="398"/>
      <c r="AB35" s="399" t="str">
        <f>IF(【進行】結果入力表!F45="","",【進行】結果入力表!F45)</f>
        <v>w</v>
      </c>
      <c r="AC35" s="400"/>
      <c r="AD35" s="399" t="str">
        <f>IF(【進行】結果入力表!F37="","",【進行】結果入力表!F37)</f>
        <v>w</v>
      </c>
      <c r="AE35" s="401"/>
      <c r="AF35" s="215">
        <f>IF(AD35="","",COUNTIF(Z35:AE35,"w"))</f>
        <v>2</v>
      </c>
      <c r="AG35" s="216">
        <f>IF(AD35="","",COUNT(AB35,AD35))</f>
        <v>0</v>
      </c>
      <c r="AH35" s="391">
        <f>SUM(Z35:AE35)+AF35*Y35</f>
        <v>360</v>
      </c>
      <c r="AI35" s="392"/>
      <c r="AJ35" s="219">
        <f>IF(AD35="","",AH35/Y35*180)</f>
        <v>360</v>
      </c>
      <c r="AK35" s="217">
        <f>IF(Z36="w",180,Z36/Y35*180)+IF(Z37="w",180,Z37/Y35*180)</f>
        <v>66</v>
      </c>
      <c r="AL35" s="217">
        <f>AF35*10000000+AJ35*AF10034*10000000+AJ35*1000-AK35</f>
        <v>20359934</v>
      </c>
      <c r="AM35" s="218">
        <f>IF(AD35="","",RANK(AL35:AL37,AL35:AL37,0))</f>
        <v>1</v>
      </c>
      <c r="AO35" s="393" t="str">
        <f>$A$5</f>
        <v>WRC</v>
      </c>
      <c r="AP35" s="394"/>
      <c r="AQ35" s="395" t="str">
        <f>【進行】結果入力表!D69</f>
        <v>杉本　博章</v>
      </c>
      <c r="AR35" s="396"/>
      <c r="AS35" s="220">
        <f>【準備】登録!L11</f>
        <v>180</v>
      </c>
      <c r="AT35" s="397"/>
      <c r="AU35" s="398"/>
      <c r="AV35" s="399" t="str">
        <f>IF(【進行】結果入力表!F69="","",【進行】結果入力表!F69)</f>
        <v>w</v>
      </c>
      <c r="AW35" s="400"/>
      <c r="AX35" s="399" t="str">
        <f>IF(【進行】結果入力表!F61="","",【進行】結果入力表!F61)</f>
        <v>w</v>
      </c>
      <c r="AY35" s="401"/>
      <c r="AZ35" s="221">
        <f>IF(AX35="","",COUNTIF(AT35:AY35,"w"))</f>
        <v>2</v>
      </c>
      <c r="BA35" s="222">
        <f>IF(AX35="","",COUNT(AV35,AX35))</f>
        <v>0</v>
      </c>
      <c r="BB35" s="391">
        <f>SUM(AT35:AY35)+AZ35*AS35</f>
        <v>360</v>
      </c>
      <c r="BC35" s="392"/>
      <c r="BD35" s="223">
        <f>IF(AX35="","",BB35/AS35*180)</f>
        <v>360</v>
      </c>
      <c r="BE35" s="217">
        <f>IF(AT36="w",180,AT36/AS35*180)+IF(AT37="w",180,AT37/AS35*180)</f>
        <v>127.99999999999999</v>
      </c>
      <c r="BF35" s="217">
        <f>AZ35*10000000+BD35*AZ10034*10000000+BD35*1000-BE35</f>
        <v>20359872</v>
      </c>
      <c r="BG35" s="224">
        <f>IF(AX35="","",RANK(BF35:BF37,BF35:BF37,0))</f>
        <v>1</v>
      </c>
    </row>
    <row r="36" spans="1:59" s="200" customFormat="1" ht="12" x14ac:dyDescent="0.15">
      <c r="A36" s="385" t="str">
        <f>$A$6</f>
        <v>NRC</v>
      </c>
      <c r="B36" s="386"/>
      <c r="C36" s="387" t="str">
        <f>【進行】結果入力表!I21</f>
        <v>白戸　恭子</v>
      </c>
      <c r="D36" s="388"/>
      <c r="E36" s="225">
        <f>【準備】登録!X12</f>
        <v>140</v>
      </c>
      <c r="F36" s="389">
        <f>IF(【進行】結果入力表!G21="","",【進行】結果入力表!G21)</f>
        <v>59</v>
      </c>
      <c r="G36" s="390"/>
      <c r="H36" s="379"/>
      <c r="I36" s="380"/>
      <c r="J36" s="381" t="str">
        <f>IF(【進行】結果入力表!F29="","",【進行】結果入力表!F29)</f>
        <v>w</v>
      </c>
      <c r="K36" s="382"/>
      <c r="L36" s="226">
        <f>IF(J35="","",COUNTIF(F36:K36,"w"))</f>
        <v>1</v>
      </c>
      <c r="M36" s="227">
        <f>IF(J35="","",COUNT(F36,J36))</f>
        <v>1</v>
      </c>
      <c r="N36" s="383">
        <f>SUM(F36:K36)+L36*E36</f>
        <v>199</v>
      </c>
      <c r="O36" s="384"/>
      <c r="P36" s="227">
        <f>IF(J35="","",N36/E36*180)</f>
        <v>255.85714285714286</v>
      </c>
      <c r="Q36" s="228">
        <f>IF(H35="w",180,H35/E36*180)+IF(H37="w",180,H37/E36*180)</f>
        <v>255.85714285714286</v>
      </c>
      <c r="R36" s="228">
        <f>L36*10000000+P36*L10035*10000000+P36*1000-Q36</f>
        <v>10255601.285714287</v>
      </c>
      <c r="S36" s="229">
        <f>IF(J35="","",RANK(R35:R37,R35:R37,0))</f>
        <v>2</v>
      </c>
      <c r="U36" s="385" t="str">
        <f>$A$6</f>
        <v>NRC</v>
      </c>
      <c r="V36" s="386"/>
      <c r="W36" s="387" t="str">
        <f>【進行】結果入力表!I45</f>
        <v>長谷川　進</v>
      </c>
      <c r="X36" s="388"/>
      <c r="Y36" s="225">
        <f>【準備】登録!U12</f>
        <v>180</v>
      </c>
      <c r="Z36" s="389">
        <f>IF(【進行】結果入力表!G45="","",【進行】結果入力表!G45)</f>
        <v>43</v>
      </c>
      <c r="AA36" s="390"/>
      <c r="AB36" s="379"/>
      <c r="AC36" s="380"/>
      <c r="AD36" s="381">
        <f>IF(【進行】結果入力表!F53="","",【進行】結果入力表!F53)</f>
        <v>127</v>
      </c>
      <c r="AE36" s="382"/>
      <c r="AF36" s="226">
        <f>IF(AD35="","",COUNTIF(Z36:AE36,"w"))</f>
        <v>0</v>
      </c>
      <c r="AG36" s="227">
        <f>IF(AD35="","",COUNT(Z36,AD36))</f>
        <v>2</v>
      </c>
      <c r="AH36" s="383">
        <f>SUM(Z36:AE36)+AF36*Y36</f>
        <v>170</v>
      </c>
      <c r="AI36" s="384"/>
      <c r="AJ36" s="230">
        <f>IF(AD35="","",AH36/Y36*180)</f>
        <v>170</v>
      </c>
      <c r="AK36" s="228">
        <f>IF(AB35="w",180,AB35/Y36*180)+IF(AB37="w",180,AB37/Y36*180)</f>
        <v>360</v>
      </c>
      <c r="AL36" s="228">
        <f>AF36*10000000+AJ36*AF10035*10000000+AJ36*1000-AK36</f>
        <v>169640</v>
      </c>
      <c r="AM36" s="229">
        <f>IF(AD35="","",RANK(AL35:AL37,AL35:AL37,0))</f>
        <v>3</v>
      </c>
      <c r="AO36" s="385" t="str">
        <f>$A$6</f>
        <v>NRC</v>
      </c>
      <c r="AP36" s="386"/>
      <c r="AQ36" s="387" t="str">
        <f>【進行】結果入力表!I69</f>
        <v>斎藤　大輔</v>
      </c>
      <c r="AR36" s="388"/>
      <c r="AS36" s="231">
        <f>【準備】登録!R12</f>
        <v>180</v>
      </c>
      <c r="AT36" s="389">
        <f>IF(【進行】結果入力表!G69="","",【進行】結果入力表!G69)</f>
        <v>30</v>
      </c>
      <c r="AU36" s="390"/>
      <c r="AV36" s="379"/>
      <c r="AW36" s="380"/>
      <c r="AX36" s="411" t="str">
        <f>IF(【進行】結果入力表!F77="","",【進行】結果入力表!F77)</f>
        <v>w</v>
      </c>
      <c r="AY36" s="412"/>
      <c r="AZ36" s="232">
        <f>IF(AX35="","",COUNTIF(AT36:AY36,"w"))</f>
        <v>1</v>
      </c>
      <c r="BA36" s="233">
        <f>IF(AX35="","",COUNT(AT36,AX36))</f>
        <v>1</v>
      </c>
      <c r="BB36" s="383">
        <f>SUM(AT36:AY36)+AZ36*AS36</f>
        <v>210</v>
      </c>
      <c r="BC36" s="384"/>
      <c r="BD36" s="234">
        <f>IF(AX35="","",BB36/AS36*180)</f>
        <v>210</v>
      </c>
      <c r="BE36" s="228">
        <f>IF(AV35="w",180,AV35/AS36*180)+IF(AV37="w",180,AV37/AS36*180)</f>
        <v>280</v>
      </c>
      <c r="BF36" s="228">
        <f>AZ36*10000000+BD36*AZ10035*10000000+BD36*1000-BE36</f>
        <v>10209720</v>
      </c>
      <c r="BG36" s="235">
        <f>IF(AX35="","",RANK(BF35:BF37,BF35:BF37,0))</f>
        <v>2</v>
      </c>
    </row>
    <row r="37" spans="1:59" s="200" customFormat="1" ht="12.75" thickBot="1" x14ac:dyDescent="0.2">
      <c r="A37" s="377" t="str">
        <f>$A$7</f>
        <v>SBC</v>
      </c>
      <c r="B37" s="378"/>
      <c r="C37" s="368" t="str">
        <f>【進行】結果入力表!I13</f>
        <v>大橋　洋子</v>
      </c>
      <c r="D37" s="369"/>
      <c r="E37" s="236">
        <f>【準備】登録!X13</f>
        <v>140</v>
      </c>
      <c r="F37" s="370">
        <f>IF(【進行】結果入力表!G13="","",【進行】結果入力表!G13)</f>
        <v>69</v>
      </c>
      <c r="G37" s="371"/>
      <c r="H37" s="372">
        <f>IF(【進行】結果入力表!G29="","",【進行】結果入力表!G29)</f>
        <v>59</v>
      </c>
      <c r="I37" s="371"/>
      <c r="J37" s="373"/>
      <c r="K37" s="374"/>
      <c r="L37" s="237">
        <f>IF(J35="","",COUNTIF(F37:K37,"w"))</f>
        <v>0</v>
      </c>
      <c r="M37" s="238">
        <f>IF(J35="","",COUNT(F37,H37))</f>
        <v>2</v>
      </c>
      <c r="N37" s="375">
        <f>SUM(F37:K37)+L37*E37</f>
        <v>128</v>
      </c>
      <c r="O37" s="376"/>
      <c r="P37" s="238">
        <f>IF(J35="","",N37/E37*180)</f>
        <v>164.57142857142856</v>
      </c>
      <c r="Q37" s="239">
        <f>IF(J35="w",180,J35/E37*180)+IF(J36="w",180,J36/E37*180)</f>
        <v>360</v>
      </c>
      <c r="R37" s="239">
        <f>L37*10000000+P37*L10036*10000000+P37*1000-Q37</f>
        <v>164211.42857142855</v>
      </c>
      <c r="S37" s="240">
        <f>IF(J35="","",RANK(R35:R37,R35:R37,0))</f>
        <v>3</v>
      </c>
      <c r="U37" s="377" t="str">
        <f>$A$7</f>
        <v>SBC</v>
      </c>
      <c r="V37" s="378"/>
      <c r="W37" s="368" t="str">
        <f>【進行】結果入力表!I37</f>
        <v>大橋　洋子</v>
      </c>
      <c r="X37" s="369"/>
      <c r="Y37" s="236">
        <f>【準備】登録!X13</f>
        <v>140</v>
      </c>
      <c r="Z37" s="370">
        <f>IF(【進行】結果入力表!G37="","",【進行】結果入力表!G37)</f>
        <v>23</v>
      </c>
      <c r="AA37" s="371"/>
      <c r="AB37" s="372" t="str">
        <f>IF(【進行】結果入力表!G53="","",【進行】結果入力表!G53)</f>
        <v>w</v>
      </c>
      <c r="AC37" s="371"/>
      <c r="AD37" s="373"/>
      <c r="AE37" s="374"/>
      <c r="AF37" s="237">
        <f>IF(AD35="","",COUNTIF(Z37:AE37,"w"))</f>
        <v>1</v>
      </c>
      <c r="AG37" s="238">
        <f>IF(AD35="","",COUNT(Z37,AB37))</f>
        <v>1</v>
      </c>
      <c r="AH37" s="375">
        <f>SUM(Z37:AE37)+AF37*Y37</f>
        <v>163</v>
      </c>
      <c r="AI37" s="376"/>
      <c r="AJ37" s="241">
        <f>IF(AD35="","",AH37/Y37*180)</f>
        <v>209.57142857142858</v>
      </c>
      <c r="AK37" s="239">
        <f>IF(AD35="w",180,AD35/Y37*180)+IF(AD36="w",180,AD36/Y37*180)</f>
        <v>343.28571428571428</v>
      </c>
      <c r="AL37" s="239">
        <f>AF37*10000000+AJ37*AF10036*10000000+AJ37*1000-AK37</f>
        <v>10209228.142857144</v>
      </c>
      <c r="AM37" s="240">
        <f>IF(AD35="","",RANK(AL35:AL37,AL35:AL37,0))</f>
        <v>2</v>
      </c>
      <c r="AO37" s="377" t="str">
        <f>$A$7</f>
        <v>SBC</v>
      </c>
      <c r="AP37" s="378"/>
      <c r="AQ37" s="368" t="str">
        <f>【進行】結果入力表!I61</f>
        <v>大橋　洋子</v>
      </c>
      <c r="AR37" s="369"/>
      <c r="AS37" s="242">
        <f>【準備】登録!X13</f>
        <v>140</v>
      </c>
      <c r="AT37" s="370">
        <f>IF(【進行】結果入力表!G61="","",【進行】結果入力表!G61)</f>
        <v>98</v>
      </c>
      <c r="AU37" s="371"/>
      <c r="AV37" s="372">
        <f>IF(【進行】結果入力表!G77="","",【進行】結果入力表!G77)</f>
        <v>100</v>
      </c>
      <c r="AW37" s="371"/>
      <c r="AX37" s="373"/>
      <c r="AY37" s="374"/>
      <c r="AZ37" s="243">
        <f>IF(AX35="","",COUNTIF(AT37:AY37,"w"))</f>
        <v>0</v>
      </c>
      <c r="BA37" s="244">
        <f>IF(AX35="","",COUNT(AT37,AV37))</f>
        <v>2</v>
      </c>
      <c r="BB37" s="375">
        <f>SUM(AT37:AY37)+AZ37*AS37</f>
        <v>198</v>
      </c>
      <c r="BC37" s="376"/>
      <c r="BD37" s="245">
        <f>IF(AX35="","",BB37/AS37*180)</f>
        <v>254.57142857142858</v>
      </c>
      <c r="BE37" s="239">
        <f>IF(AX35="w",180,AX35/AS37*180)+IF(AX36="w",180,AX36/AS37*180)</f>
        <v>360</v>
      </c>
      <c r="BF37" s="239">
        <f>AZ37*10000000+BD37*AZ10036*10000000+BD37*1000-BE37</f>
        <v>254211.42857142858</v>
      </c>
      <c r="BG37" s="246">
        <f>IF(AX35="","",RANK(BF35:BF37,BF35:BF37,0))</f>
        <v>3</v>
      </c>
    </row>
    <row r="38" spans="1:59" s="200" customFormat="1" ht="8.25" customHeight="1" thickBot="1" x14ac:dyDescent="0.2">
      <c r="A38" s="247"/>
      <c r="B38" s="247"/>
      <c r="C38" s="247"/>
      <c r="D38" s="247"/>
      <c r="E38" s="248"/>
      <c r="F38" s="247"/>
      <c r="G38" s="247"/>
      <c r="H38" s="247"/>
      <c r="I38" s="247"/>
      <c r="J38" s="247"/>
      <c r="K38" s="247"/>
      <c r="L38" s="247"/>
      <c r="M38" s="247"/>
      <c r="N38" s="248"/>
      <c r="O38" s="248"/>
      <c r="P38" s="247"/>
      <c r="Q38" s="247"/>
      <c r="R38" s="248"/>
      <c r="S38" s="247"/>
      <c r="U38" s="247"/>
      <c r="V38" s="247"/>
      <c r="W38" s="247"/>
      <c r="X38" s="247"/>
      <c r="Y38" s="248"/>
      <c r="Z38" s="247"/>
      <c r="AA38" s="247"/>
      <c r="AB38" s="247"/>
      <c r="AC38" s="247"/>
      <c r="AD38" s="247"/>
      <c r="AE38" s="247"/>
      <c r="AF38" s="247"/>
      <c r="AG38" s="247"/>
      <c r="AH38" s="248"/>
      <c r="AI38" s="248"/>
      <c r="AJ38" s="249"/>
      <c r="AK38" s="247"/>
      <c r="AL38" s="248"/>
      <c r="AM38" s="247"/>
      <c r="AO38" s="250"/>
      <c r="AP38" s="250"/>
      <c r="AQ38" s="250"/>
      <c r="AR38" s="250"/>
      <c r="AS38" s="251"/>
      <c r="AT38" s="247"/>
      <c r="AU38" s="247"/>
      <c r="AV38" s="247"/>
      <c r="AW38" s="247"/>
      <c r="AX38" s="247"/>
      <c r="AY38" s="247"/>
      <c r="AZ38" s="250"/>
      <c r="BA38" s="250"/>
      <c r="BB38" s="251"/>
      <c r="BC38" s="251"/>
      <c r="BD38" s="250"/>
      <c r="BE38" s="247"/>
      <c r="BF38" s="248"/>
      <c r="BG38" s="252"/>
    </row>
    <row r="39" spans="1:59" s="200" customFormat="1" ht="12.75" thickBot="1" x14ac:dyDescent="0.2">
      <c r="A39" s="409" t="str">
        <f>IF(【準備】登録!Y11="","",【準備】登録!Y9)</f>
        <v/>
      </c>
      <c r="B39" s="410"/>
      <c r="C39" s="402" t="s">
        <v>90</v>
      </c>
      <c r="D39" s="403"/>
      <c r="E39" s="201" t="str">
        <f>E$4</f>
        <v>持点</v>
      </c>
      <c r="F39" s="404" t="str">
        <f>$A$40</f>
        <v/>
      </c>
      <c r="G39" s="405"/>
      <c r="H39" s="402" t="str">
        <f>$A$41</f>
        <v/>
      </c>
      <c r="I39" s="405"/>
      <c r="J39" s="402" t="str">
        <f>$A$42</f>
        <v/>
      </c>
      <c r="K39" s="406"/>
      <c r="L39" s="203" t="s">
        <v>31</v>
      </c>
      <c r="M39" s="206" t="s">
        <v>73</v>
      </c>
      <c r="N39" s="407" t="s">
        <v>74</v>
      </c>
      <c r="O39" s="408"/>
      <c r="P39" s="206" t="s">
        <v>74</v>
      </c>
      <c r="Q39" s="207" t="s">
        <v>91</v>
      </c>
      <c r="R39" s="207" t="s">
        <v>85</v>
      </c>
      <c r="S39" s="208" t="s">
        <v>75</v>
      </c>
      <c r="U39" s="409" t="str">
        <f>A39</f>
        <v/>
      </c>
      <c r="V39" s="410"/>
      <c r="W39" s="402" t="s">
        <v>90</v>
      </c>
      <c r="X39" s="403"/>
      <c r="Y39" s="201" t="str">
        <f>$E$4</f>
        <v>持点</v>
      </c>
      <c r="Z39" s="404" t="str">
        <f>$A$40</f>
        <v/>
      </c>
      <c r="AA39" s="405"/>
      <c r="AB39" s="402" t="str">
        <f>$A$41</f>
        <v/>
      </c>
      <c r="AC39" s="405"/>
      <c r="AD39" s="402" t="str">
        <f>$A$42</f>
        <v/>
      </c>
      <c r="AE39" s="406"/>
      <c r="AF39" s="203" t="s">
        <v>31</v>
      </c>
      <c r="AG39" s="206" t="s">
        <v>73</v>
      </c>
      <c r="AH39" s="407" t="s">
        <v>74</v>
      </c>
      <c r="AI39" s="408"/>
      <c r="AJ39" s="209" t="s">
        <v>74</v>
      </c>
      <c r="AK39" s="207" t="s">
        <v>91</v>
      </c>
      <c r="AL39" s="207" t="s">
        <v>85</v>
      </c>
      <c r="AM39" s="208" t="s">
        <v>75</v>
      </c>
      <c r="AO39" s="409" t="str">
        <f>A39</f>
        <v/>
      </c>
      <c r="AP39" s="410"/>
      <c r="AQ39" s="402" t="s">
        <v>90</v>
      </c>
      <c r="AR39" s="403"/>
      <c r="AS39" s="210" t="str">
        <f>$E$4</f>
        <v>持点</v>
      </c>
      <c r="AT39" s="404" t="str">
        <f>$A$40</f>
        <v/>
      </c>
      <c r="AU39" s="405"/>
      <c r="AV39" s="402" t="str">
        <f>$A$41</f>
        <v/>
      </c>
      <c r="AW39" s="405"/>
      <c r="AX39" s="402" t="str">
        <f>$A$42</f>
        <v/>
      </c>
      <c r="AY39" s="406"/>
      <c r="AZ39" s="211" t="s">
        <v>31</v>
      </c>
      <c r="BA39" s="212" t="s">
        <v>73</v>
      </c>
      <c r="BB39" s="407" t="s">
        <v>74</v>
      </c>
      <c r="BC39" s="408"/>
      <c r="BD39" s="212" t="s">
        <v>74</v>
      </c>
      <c r="BE39" s="207" t="s">
        <v>91</v>
      </c>
      <c r="BF39" s="207" t="s">
        <v>85</v>
      </c>
      <c r="BG39" s="213" t="s">
        <v>75</v>
      </c>
    </row>
    <row r="40" spans="1:59" s="200" customFormat="1" ht="12.75" thickTop="1" x14ac:dyDescent="0.15">
      <c r="A40" s="393" t="str">
        <f>IF(【準備】登録!Y11="","",$A$5)</f>
        <v/>
      </c>
      <c r="B40" s="394"/>
      <c r="C40" s="395" t="str">
        <f>【進行】結果入力表!D14</f>
        <v/>
      </c>
      <c r="D40" s="396"/>
      <c r="E40" s="214">
        <f>【準備】登録!AA11</f>
        <v>180</v>
      </c>
      <c r="F40" s="397"/>
      <c r="G40" s="398"/>
      <c r="H40" s="399" t="str">
        <f>IF(【進行】結果入力表!F22="","",【進行】結果入力表!F22)</f>
        <v/>
      </c>
      <c r="I40" s="400"/>
      <c r="J40" s="399" t="str">
        <f>IF(【進行】結果入力表!F14="","",【進行】結果入力表!F14)</f>
        <v/>
      </c>
      <c r="K40" s="401"/>
      <c r="L40" s="215" t="str">
        <f>IF(J40="","",COUNTIF(F40:K40,"w"))</f>
        <v/>
      </c>
      <c r="M40" s="216" t="str">
        <f>IF(J40="","",COUNT(H40,J40))</f>
        <v/>
      </c>
      <c r="N40" s="391" t="e">
        <f>SUM(F40:K40)+L40*E40</f>
        <v>#VALUE!</v>
      </c>
      <c r="O40" s="392"/>
      <c r="P40" s="216" t="str">
        <f>IF(J40="","",N40/E40*180)</f>
        <v/>
      </c>
      <c r="Q40" s="217" t="e">
        <f>IF(F41="w",180,F41/E40*180)+IF(F42="w",180,F42/E40*180)</f>
        <v>#VALUE!</v>
      </c>
      <c r="R40" s="217" t="e">
        <f>L40*10000000+P40*L10039*10000000+P40*1000-Q40</f>
        <v>#VALUE!</v>
      </c>
      <c r="S40" s="218" t="str">
        <f>IF(J40="","",RANK(R40:R42,R40:R42,0))</f>
        <v/>
      </c>
      <c r="U40" s="393" t="str">
        <f>$A40</f>
        <v/>
      </c>
      <c r="V40" s="394"/>
      <c r="W40" s="395" t="str">
        <f>【進行】結果入力表!D46</f>
        <v/>
      </c>
      <c r="X40" s="396"/>
      <c r="Y40" s="214">
        <f>【準備】登録!U11</f>
        <v>180</v>
      </c>
      <c r="Z40" s="397"/>
      <c r="AA40" s="398"/>
      <c r="AB40" s="399" t="str">
        <f>IF(【進行】結果入力表!F46="","",【進行】結果入力表!F46)</f>
        <v/>
      </c>
      <c r="AC40" s="400"/>
      <c r="AD40" s="399" t="str">
        <f>IF(【進行】結果入力表!F38="","",【進行】結果入力表!F38)</f>
        <v/>
      </c>
      <c r="AE40" s="401"/>
      <c r="AF40" s="215" t="str">
        <f>IF(AD40="","",COUNTIF(Z40:AE40,"w"))</f>
        <v/>
      </c>
      <c r="AG40" s="216" t="str">
        <f>IF(AD40="","",COUNT(AB40,AD40))</f>
        <v/>
      </c>
      <c r="AH40" s="391" t="e">
        <f>SUM(Z40:AE40)+AF40*Y40</f>
        <v>#VALUE!</v>
      </c>
      <c r="AI40" s="392"/>
      <c r="AJ40" s="219" t="str">
        <f>IF(AD40="","",AH40/Y40*180)</f>
        <v/>
      </c>
      <c r="AK40" s="217" t="e">
        <f>IF(Z41="w",180,Z41/Y40*180)+IF(Z42="w",180,Z42/Y40*180)</f>
        <v>#VALUE!</v>
      </c>
      <c r="AL40" s="217" t="e">
        <f>AF40*10000000+AJ40*AF10039*10000000+AJ40*1000-AK40</f>
        <v>#VALUE!</v>
      </c>
      <c r="AM40" s="218" t="str">
        <f>IF(AD40="","",RANK(AL40:AL42,AL40:AL42,0))</f>
        <v/>
      </c>
      <c r="AO40" s="393" t="str">
        <f>$A40</f>
        <v/>
      </c>
      <c r="AP40" s="394"/>
      <c r="AQ40" s="395" t="str">
        <f>【進行】結果入力表!D70</f>
        <v/>
      </c>
      <c r="AR40" s="396"/>
      <c r="AS40" s="220">
        <f>【準備】登録!O11</f>
        <v>180</v>
      </c>
      <c r="AT40" s="397"/>
      <c r="AU40" s="398"/>
      <c r="AV40" s="399" t="str">
        <f>IF(【進行】結果入力表!F70="","",【進行】結果入力表!F70)</f>
        <v/>
      </c>
      <c r="AW40" s="400"/>
      <c r="AX40" s="399" t="str">
        <f>IF(【進行】結果入力表!F62="","",【進行】結果入力表!F62)</f>
        <v/>
      </c>
      <c r="AY40" s="401"/>
      <c r="AZ40" s="221" t="str">
        <f>IF(AX40="","",COUNTIF(AT40:AY40,"w"))</f>
        <v/>
      </c>
      <c r="BA40" s="222" t="str">
        <f>IF(AX40="","",COUNT(AV40,AX40))</f>
        <v/>
      </c>
      <c r="BB40" s="391" t="e">
        <f>SUM(AT40:AY40)+AZ40*AS40</f>
        <v>#VALUE!</v>
      </c>
      <c r="BC40" s="392"/>
      <c r="BD40" s="223" t="str">
        <f>IF(AX40="","",BB40/AS40*180)</f>
        <v/>
      </c>
      <c r="BE40" s="217" t="e">
        <f>IF(AT41="w",180,AT41/AS40*180)+IF(AT42="w",180,AT42/AS40*180)</f>
        <v>#VALUE!</v>
      </c>
      <c r="BF40" s="217" t="e">
        <f>AZ40*10000000+BD40*AZ10039*10000000+BD40*1000-BE40</f>
        <v>#VALUE!</v>
      </c>
      <c r="BG40" s="224" t="str">
        <f>IF(AX40="","",RANK(BF40:BF42,BF40:BF42,0))</f>
        <v/>
      </c>
    </row>
    <row r="41" spans="1:59" s="200" customFormat="1" ht="12" x14ac:dyDescent="0.15">
      <c r="A41" s="385" t="str">
        <f>IF(【準備】登録!Y12="","",$A$6)</f>
        <v/>
      </c>
      <c r="B41" s="386"/>
      <c r="C41" s="387" t="str">
        <f>【進行】結果入力表!I22</f>
        <v/>
      </c>
      <c r="D41" s="388"/>
      <c r="E41" s="225">
        <f>【準備】登録!AA12</f>
        <v>140</v>
      </c>
      <c r="F41" s="389" t="str">
        <f>IF(【進行】結果入力表!G22="","",【進行】結果入力表!G22)</f>
        <v/>
      </c>
      <c r="G41" s="390"/>
      <c r="H41" s="379"/>
      <c r="I41" s="380"/>
      <c r="J41" s="381" t="str">
        <f>IF(【進行】結果入力表!F30="","",【進行】結果入力表!F30)</f>
        <v/>
      </c>
      <c r="K41" s="382"/>
      <c r="L41" s="226" t="str">
        <f>IF(J40="","",COUNTIF(F41:K41,"w"))</f>
        <v/>
      </c>
      <c r="M41" s="227" t="str">
        <f>IF(J40="","",COUNT(F41,J41))</f>
        <v/>
      </c>
      <c r="N41" s="383" t="e">
        <f>SUM(F41:K41)+L41*E41</f>
        <v>#VALUE!</v>
      </c>
      <c r="O41" s="384"/>
      <c r="P41" s="227" t="str">
        <f>IF(J40="","",N41/E41*180)</f>
        <v/>
      </c>
      <c r="Q41" s="228" t="e">
        <f>IF(H40="w",180,H40/E41*180)+IF(H42="w",180,H42/E41*180)</f>
        <v>#VALUE!</v>
      </c>
      <c r="R41" s="228" t="e">
        <f>L41*10000000+P41*L10040*10000000+P41*1000-Q41</f>
        <v>#VALUE!</v>
      </c>
      <c r="S41" s="229" t="str">
        <f>IF(J40="","",RANK(R40:R42,R40:R42,0))</f>
        <v/>
      </c>
      <c r="U41" s="385" t="str">
        <f>$A41</f>
        <v/>
      </c>
      <c r="V41" s="386"/>
      <c r="W41" s="387" t="str">
        <f>【進行】結果入力表!I46</f>
        <v/>
      </c>
      <c r="X41" s="388"/>
      <c r="Y41" s="225">
        <f>【準備】登録!X12</f>
        <v>140</v>
      </c>
      <c r="Z41" s="389" t="str">
        <f>IF(【進行】結果入力表!G46="","",【進行】結果入力表!G46)</f>
        <v/>
      </c>
      <c r="AA41" s="390"/>
      <c r="AB41" s="379"/>
      <c r="AC41" s="380"/>
      <c r="AD41" s="381" t="str">
        <f>IF(【進行】結果入力表!F54="","",【進行】結果入力表!F54)</f>
        <v/>
      </c>
      <c r="AE41" s="382"/>
      <c r="AF41" s="226" t="str">
        <f>IF(AD40="","",COUNTIF(Z41:AE41,"w"))</f>
        <v/>
      </c>
      <c r="AG41" s="227" t="str">
        <f>IF(AD40="","",COUNT(Z41,AD41))</f>
        <v/>
      </c>
      <c r="AH41" s="383" t="e">
        <f>SUM(Z41:AE41)+AF41*Y41</f>
        <v>#VALUE!</v>
      </c>
      <c r="AI41" s="384"/>
      <c r="AJ41" s="230" t="str">
        <f>IF(AD40="","",AH41/Y41*180)</f>
        <v/>
      </c>
      <c r="AK41" s="228" t="e">
        <f>IF(AB40="w",180,AB40/Y41*180)+IF(AB42="w",180,AB42/Y41*180)</f>
        <v>#VALUE!</v>
      </c>
      <c r="AL41" s="228" t="e">
        <f>AF41*10000000+AJ41*AF10040*10000000+AJ41*1000-AK41</f>
        <v>#VALUE!</v>
      </c>
      <c r="AM41" s="229" t="str">
        <f>IF(AD40="","",RANK(AL40:AL42,AL40:AL42,0))</f>
        <v/>
      </c>
      <c r="AO41" s="385" t="str">
        <f>$A41</f>
        <v/>
      </c>
      <c r="AP41" s="386"/>
      <c r="AQ41" s="387" t="str">
        <f>【進行】結果入力表!I70</f>
        <v/>
      </c>
      <c r="AR41" s="388"/>
      <c r="AS41" s="231">
        <f>【準備】登録!U12</f>
        <v>180</v>
      </c>
      <c r="AT41" s="389" t="str">
        <f>IF(【進行】結果入力表!G70="","",【進行】結果入力表!G70)</f>
        <v/>
      </c>
      <c r="AU41" s="390"/>
      <c r="AV41" s="379"/>
      <c r="AW41" s="380"/>
      <c r="AX41" s="381" t="str">
        <f>IF(【進行】結果入力表!F78="","",【進行】結果入力表!F78)</f>
        <v/>
      </c>
      <c r="AY41" s="382"/>
      <c r="AZ41" s="232" t="str">
        <f>IF(AX40="","",COUNTIF(AT41:AY41,"w"))</f>
        <v/>
      </c>
      <c r="BA41" s="233" t="str">
        <f>IF(AX40="","",COUNT(AT41,AX41))</f>
        <v/>
      </c>
      <c r="BB41" s="383" t="e">
        <f>SUM(AT41:AY41)+AZ41*AS41</f>
        <v>#VALUE!</v>
      </c>
      <c r="BC41" s="384"/>
      <c r="BD41" s="234" t="str">
        <f>IF(AX40="","",BB41/AS41*180)</f>
        <v/>
      </c>
      <c r="BE41" s="228" t="e">
        <f>IF(AV40="w",180,AV40/AS41*180)+IF(AV42="w",180,AV42/AS41*180)</f>
        <v>#VALUE!</v>
      </c>
      <c r="BF41" s="228" t="e">
        <f>AZ41*10000000+BD41*AZ10040*10000000+BD41*1000-BE41</f>
        <v>#VALUE!</v>
      </c>
      <c r="BG41" s="235" t="str">
        <f>IF(AX40="","",RANK(BF40:BF42,BF40:BF42,0))</f>
        <v/>
      </c>
    </row>
    <row r="42" spans="1:59" s="200" customFormat="1" ht="12.75" thickBot="1" x14ac:dyDescent="0.2">
      <c r="A42" s="377" t="str">
        <f>IF(【準備】登録!Y13="","",$A$7)</f>
        <v/>
      </c>
      <c r="B42" s="378"/>
      <c r="C42" s="368" t="str">
        <f>【進行】結果入力表!I14</f>
        <v/>
      </c>
      <c r="D42" s="369"/>
      <c r="E42" s="236">
        <f>【準備】登録!AA13</f>
        <v>140</v>
      </c>
      <c r="F42" s="370" t="str">
        <f>IF(【進行】結果入力表!G14="","",【進行】結果入力表!G14)</f>
        <v/>
      </c>
      <c r="G42" s="371"/>
      <c r="H42" s="372" t="str">
        <f>IF(C40="","",【進行】結果入力表!G30)</f>
        <v/>
      </c>
      <c r="I42" s="371"/>
      <c r="J42" s="373"/>
      <c r="K42" s="374"/>
      <c r="L42" s="237" t="str">
        <f>IF(J40="","",COUNTIF(F42:K42,"w"))</f>
        <v/>
      </c>
      <c r="M42" s="238" t="str">
        <f>IF(J40="","",COUNT(F42,H42))</f>
        <v/>
      </c>
      <c r="N42" s="375" t="e">
        <f>SUM(F42:K42)+L42*E42</f>
        <v>#VALUE!</v>
      </c>
      <c r="O42" s="376"/>
      <c r="P42" s="238" t="str">
        <f>IF(J40="","",N42/E42*180)</f>
        <v/>
      </c>
      <c r="Q42" s="239" t="e">
        <f>IF(J40="w",180,J40/E42*180)+IF(J41="w",180,J41/E42*180)</f>
        <v>#VALUE!</v>
      </c>
      <c r="R42" s="239" t="e">
        <f>L42*10000000+P42*L10041*10000000+P42*1000-Q42</f>
        <v>#VALUE!</v>
      </c>
      <c r="S42" s="240" t="str">
        <f>IF(J40="","",RANK(R40:R42,R40:R42,0))</f>
        <v/>
      </c>
      <c r="U42" s="377" t="str">
        <f>$A42</f>
        <v/>
      </c>
      <c r="V42" s="378"/>
      <c r="W42" s="368" t="str">
        <f>【進行】結果入力表!I38</f>
        <v/>
      </c>
      <c r="X42" s="369"/>
      <c r="Y42" s="236">
        <f>【準備】登録!AA13</f>
        <v>140</v>
      </c>
      <c r="Z42" s="370" t="str">
        <f>IF(【進行】結果入力表!G38="","",【進行】結果入力表!G38)</f>
        <v/>
      </c>
      <c r="AA42" s="371"/>
      <c r="AB42" s="372" t="str">
        <f>IF(【進行】結果入力表!G54="","",【進行】結果入力表!G54)</f>
        <v/>
      </c>
      <c r="AC42" s="371"/>
      <c r="AD42" s="373"/>
      <c r="AE42" s="374"/>
      <c r="AF42" s="237" t="str">
        <f>IF(AD40="","",COUNTIF(Z42:AE42,"w"))</f>
        <v/>
      </c>
      <c r="AG42" s="238" t="str">
        <f>IF(AD40="","",COUNT(Z42,AB42))</f>
        <v/>
      </c>
      <c r="AH42" s="375" t="e">
        <f>SUM(Z42:AE42)+AF42*Y42</f>
        <v>#VALUE!</v>
      </c>
      <c r="AI42" s="376"/>
      <c r="AJ42" s="241" t="str">
        <f>IF(AD40="","",AH42/Y42*180)</f>
        <v/>
      </c>
      <c r="AK42" s="239" t="e">
        <f>IF(AD40="w",180,AD40/Y42*180)+IF(AD41="w",180,AD41/Y42*180)</f>
        <v>#VALUE!</v>
      </c>
      <c r="AL42" s="239" t="e">
        <f>AF42*10000000+AJ42*AF10041*10000000+AJ42*1000-AK42</f>
        <v>#VALUE!</v>
      </c>
      <c r="AM42" s="240" t="str">
        <f>IF(AD40="","",RANK(AL40:AL42,AL40:AL42,0))</f>
        <v/>
      </c>
      <c r="AO42" s="377" t="str">
        <f>$A42</f>
        <v/>
      </c>
      <c r="AP42" s="378"/>
      <c r="AQ42" s="368" t="str">
        <f>【進行】結果入力表!I62</f>
        <v/>
      </c>
      <c r="AR42" s="369"/>
      <c r="AS42" s="242">
        <f>【準備】登録!AA13</f>
        <v>140</v>
      </c>
      <c r="AT42" s="370" t="str">
        <f>IF(【進行】結果入力表!G62="","",【進行】結果入力表!G62)</f>
        <v/>
      </c>
      <c r="AU42" s="371"/>
      <c r="AV42" s="372" t="str">
        <f>IF(【進行】結果入力表!G78="","",【進行】結果入力表!G78)</f>
        <v/>
      </c>
      <c r="AW42" s="371"/>
      <c r="AX42" s="373"/>
      <c r="AY42" s="374"/>
      <c r="AZ42" s="243" t="str">
        <f>IF(AX40="","",COUNTIF(AT42:AY42,"w"))</f>
        <v/>
      </c>
      <c r="BA42" s="244" t="str">
        <f>IF(AX40="","",COUNT(AT42,AV42))</f>
        <v/>
      </c>
      <c r="BB42" s="375" t="e">
        <f>SUM(AT42:AY42)+AZ42*AS42</f>
        <v>#VALUE!</v>
      </c>
      <c r="BC42" s="376"/>
      <c r="BD42" s="245" t="str">
        <f>IF(AX40="","",BB42/AS42*180)</f>
        <v/>
      </c>
      <c r="BE42" s="239" t="e">
        <f>IF(AX40="w",180,AX40/AS42*180)+IF(AX41="w",180,AX41/AS42*180)</f>
        <v>#VALUE!</v>
      </c>
      <c r="BF42" s="239" t="e">
        <f>AZ42*10000000+BD42*AZ10041*10000000+BD42*1000-BE42</f>
        <v>#VALUE!</v>
      </c>
      <c r="BG42" s="246" t="str">
        <f>IF(AX40="","",RANK(BF40:BF42,BF40:BF42,0))</f>
        <v/>
      </c>
    </row>
    <row r="43" spans="1:59" x14ac:dyDescent="0.15">
      <c r="B43" s="190" t="s">
        <v>88</v>
      </c>
      <c r="C43" s="191" t="s">
        <v>89</v>
      </c>
      <c r="D43" s="254"/>
      <c r="E43" s="255"/>
      <c r="F43" s="254"/>
      <c r="G43" s="254"/>
      <c r="H43" s="254"/>
      <c r="I43" s="254"/>
      <c r="J43" s="254"/>
      <c r="K43" s="254"/>
      <c r="L43" s="254"/>
      <c r="M43" s="254"/>
      <c r="N43" s="255"/>
      <c r="O43" s="255"/>
      <c r="P43" s="254"/>
      <c r="Q43" s="254"/>
      <c r="R43" s="255"/>
      <c r="S43" s="254"/>
      <c r="T43" s="191"/>
      <c r="U43" s="254"/>
      <c r="V43" s="254"/>
      <c r="W43" s="254"/>
      <c r="X43" s="254"/>
      <c r="Y43" s="255"/>
      <c r="Z43" s="254"/>
      <c r="AA43" s="254"/>
      <c r="AB43" s="254"/>
      <c r="AC43" s="254"/>
      <c r="AD43" s="254"/>
      <c r="AE43" s="254"/>
      <c r="AF43" s="254"/>
      <c r="AG43" s="254"/>
      <c r="AH43" s="255"/>
      <c r="AI43" s="255"/>
      <c r="AJ43" s="254"/>
      <c r="AK43" s="254"/>
      <c r="AL43" s="255"/>
      <c r="AM43" s="254"/>
      <c r="AN43" s="191"/>
      <c r="AO43" s="254"/>
      <c r="AP43" s="254"/>
      <c r="AQ43" s="254"/>
      <c r="AR43" s="254"/>
      <c r="AS43" s="255"/>
      <c r="AT43" s="254"/>
      <c r="AU43" s="254"/>
      <c r="AV43" s="254"/>
      <c r="AW43" s="254"/>
      <c r="AX43" s="254"/>
      <c r="AY43" s="254"/>
      <c r="AZ43" s="254"/>
      <c r="BA43" s="254"/>
      <c r="BB43" s="255"/>
      <c r="BC43" s="255"/>
      <c r="BD43" s="256"/>
      <c r="BE43" s="254"/>
      <c r="BF43" s="255"/>
      <c r="BG43" s="250"/>
    </row>
  </sheetData>
  <mergeCells count="517">
    <mergeCell ref="AZ2:BG2"/>
    <mergeCell ref="A3:S3"/>
    <mergeCell ref="U3:AM3"/>
    <mergeCell ref="AO3:BG3"/>
    <mergeCell ref="A4:B4"/>
    <mergeCell ref="C4:D4"/>
    <mergeCell ref="N4:O4"/>
    <mergeCell ref="U4:V4"/>
    <mergeCell ref="W4:X4"/>
    <mergeCell ref="AH4:AI4"/>
    <mergeCell ref="AO4:AP4"/>
    <mergeCell ref="AQ4:AR4"/>
    <mergeCell ref="BB4:BC4"/>
    <mergeCell ref="A5:B5"/>
    <mergeCell ref="C5:D5"/>
    <mergeCell ref="F5:G5"/>
    <mergeCell ref="H5:I5"/>
    <mergeCell ref="J5:K5"/>
    <mergeCell ref="N5:O5"/>
    <mergeCell ref="U5:V5"/>
    <mergeCell ref="AQ5:AR5"/>
    <mergeCell ref="AT5:AU5"/>
    <mergeCell ref="AV5:AW5"/>
    <mergeCell ref="AX5:AY5"/>
    <mergeCell ref="BB5:BC5"/>
    <mergeCell ref="A6:B6"/>
    <mergeCell ref="C6:D6"/>
    <mergeCell ref="F6:G6"/>
    <mergeCell ref="H6:I6"/>
    <mergeCell ref="J6:K6"/>
    <mergeCell ref="W5:X5"/>
    <mergeCell ref="Z5:AA5"/>
    <mergeCell ref="AB5:AC5"/>
    <mergeCell ref="AD5:AE5"/>
    <mergeCell ref="AH5:AI5"/>
    <mergeCell ref="AO5:AP5"/>
    <mergeCell ref="BB6:BC6"/>
    <mergeCell ref="A7:B7"/>
    <mergeCell ref="C7:D7"/>
    <mergeCell ref="F7:G7"/>
    <mergeCell ref="H7:I7"/>
    <mergeCell ref="J7:K7"/>
    <mergeCell ref="N7:O7"/>
    <mergeCell ref="U7:V7"/>
    <mergeCell ref="W7:X7"/>
    <mergeCell ref="Z7:AA7"/>
    <mergeCell ref="AH6:AI6"/>
    <mergeCell ref="AO6:AP6"/>
    <mergeCell ref="AQ6:AR6"/>
    <mergeCell ref="AT6:AU6"/>
    <mergeCell ref="AV6:AW6"/>
    <mergeCell ref="AX6:AY6"/>
    <mergeCell ref="N6:O6"/>
    <mergeCell ref="U6:V6"/>
    <mergeCell ref="W6:X6"/>
    <mergeCell ref="Z6:AA6"/>
    <mergeCell ref="AB6:AC6"/>
    <mergeCell ref="AD6:AE6"/>
    <mergeCell ref="AV7:AW7"/>
    <mergeCell ref="AX7:AY7"/>
    <mergeCell ref="BB7:BC7"/>
    <mergeCell ref="A9:B9"/>
    <mergeCell ref="C9:D9"/>
    <mergeCell ref="N9:O9"/>
    <mergeCell ref="U9:V9"/>
    <mergeCell ref="W9:X9"/>
    <mergeCell ref="AH9:AI9"/>
    <mergeCell ref="AO9:AP9"/>
    <mergeCell ref="AB7:AC7"/>
    <mergeCell ref="AD7:AE7"/>
    <mergeCell ref="AH7:AI7"/>
    <mergeCell ref="AO7:AP7"/>
    <mergeCell ref="AQ7:AR7"/>
    <mergeCell ref="AT7:AU7"/>
    <mergeCell ref="AQ9:AR9"/>
    <mergeCell ref="BB9:BC9"/>
    <mergeCell ref="A10:B10"/>
    <mergeCell ref="C10:D10"/>
    <mergeCell ref="F10:G10"/>
    <mergeCell ref="H10:I10"/>
    <mergeCell ref="J10:K10"/>
    <mergeCell ref="N10:O10"/>
    <mergeCell ref="U10:V10"/>
    <mergeCell ref="W10:X10"/>
    <mergeCell ref="AT10:AU10"/>
    <mergeCell ref="AV10:AW10"/>
    <mergeCell ref="AX10:AY10"/>
    <mergeCell ref="BB10:BC10"/>
    <mergeCell ref="A11:B11"/>
    <mergeCell ref="C11:D11"/>
    <mergeCell ref="F11:G11"/>
    <mergeCell ref="H11:I11"/>
    <mergeCell ref="J11:K11"/>
    <mergeCell ref="N11:O11"/>
    <mergeCell ref="Z10:AA10"/>
    <mergeCell ref="AB10:AC10"/>
    <mergeCell ref="AD10:AE10"/>
    <mergeCell ref="AH10:AI10"/>
    <mergeCell ref="AO10:AP10"/>
    <mergeCell ref="AQ10:AR10"/>
    <mergeCell ref="AV11:AW11"/>
    <mergeCell ref="AX11:AY11"/>
    <mergeCell ref="BB11:BC11"/>
    <mergeCell ref="U11:V11"/>
    <mergeCell ref="W11:X11"/>
    <mergeCell ref="Z11:AA11"/>
    <mergeCell ref="AB11:AC11"/>
    <mergeCell ref="AD11:AE11"/>
    <mergeCell ref="AH11:AI11"/>
    <mergeCell ref="A12:B12"/>
    <mergeCell ref="C12:D12"/>
    <mergeCell ref="F12:G12"/>
    <mergeCell ref="H12:I12"/>
    <mergeCell ref="J12:K12"/>
    <mergeCell ref="N12:O12"/>
    <mergeCell ref="AO11:AP11"/>
    <mergeCell ref="AQ11:AR11"/>
    <mergeCell ref="AT11:AU11"/>
    <mergeCell ref="AO12:AP12"/>
    <mergeCell ref="AQ12:AR12"/>
    <mergeCell ref="AT12:AU12"/>
    <mergeCell ref="AV12:AW12"/>
    <mergeCell ref="AX12:AY12"/>
    <mergeCell ref="BB12:BC12"/>
    <mergeCell ref="U12:V12"/>
    <mergeCell ref="W12:X12"/>
    <mergeCell ref="Z12:AA12"/>
    <mergeCell ref="AB12:AC12"/>
    <mergeCell ref="AD12:AE12"/>
    <mergeCell ref="AH12:AI12"/>
    <mergeCell ref="AO14:AP14"/>
    <mergeCell ref="AQ14:AR14"/>
    <mergeCell ref="BB14:BC14"/>
    <mergeCell ref="A15:B15"/>
    <mergeCell ref="C15:D15"/>
    <mergeCell ref="F15:G15"/>
    <mergeCell ref="H15:I15"/>
    <mergeCell ref="J15:K15"/>
    <mergeCell ref="N15:O15"/>
    <mergeCell ref="U15:V15"/>
    <mergeCell ref="A14:B14"/>
    <mergeCell ref="C14:D14"/>
    <mergeCell ref="N14:O14"/>
    <mergeCell ref="U14:V14"/>
    <mergeCell ref="W14:X14"/>
    <mergeCell ref="AH14:AI14"/>
    <mergeCell ref="AQ15:AR15"/>
    <mergeCell ref="AT15:AU15"/>
    <mergeCell ref="AV15:AW15"/>
    <mergeCell ref="AX15:AY15"/>
    <mergeCell ref="BB15:BC15"/>
    <mergeCell ref="A16:B16"/>
    <mergeCell ref="C16:D16"/>
    <mergeCell ref="F16:G16"/>
    <mergeCell ref="H16:I16"/>
    <mergeCell ref="J16:K16"/>
    <mergeCell ref="W15:X15"/>
    <mergeCell ref="Z15:AA15"/>
    <mergeCell ref="AB15:AC15"/>
    <mergeCell ref="AD15:AE15"/>
    <mergeCell ref="AH15:AI15"/>
    <mergeCell ref="AO15:AP15"/>
    <mergeCell ref="BB16:BC16"/>
    <mergeCell ref="A17:B17"/>
    <mergeCell ref="C17:D17"/>
    <mergeCell ref="F17:G17"/>
    <mergeCell ref="H17:I17"/>
    <mergeCell ref="J17:K17"/>
    <mergeCell ref="N17:O17"/>
    <mergeCell ref="U17:V17"/>
    <mergeCell ref="W17:X17"/>
    <mergeCell ref="Z17:AA17"/>
    <mergeCell ref="AH16:AI16"/>
    <mergeCell ref="AO16:AP16"/>
    <mergeCell ref="AQ16:AR16"/>
    <mergeCell ref="AT16:AU16"/>
    <mergeCell ref="AV16:AW16"/>
    <mergeCell ref="AX16:AY16"/>
    <mergeCell ref="N16:O16"/>
    <mergeCell ref="U16:V16"/>
    <mergeCell ref="W16:X16"/>
    <mergeCell ref="Z16:AA16"/>
    <mergeCell ref="AB16:AC16"/>
    <mergeCell ref="AD16:AE16"/>
    <mergeCell ref="AV17:AW17"/>
    <mergeCell ref="AX17:AY17"/>
    <mergeCell ref="BB17:BC17"/>
    <mergeCell ref="A19:B19"/>
    <mergeCell ref="C19:D19"/>
    <mergeCell ref="N19:O19"/>
    <mergeCell ref="U19:V19"/>
    <mergeCell ref="W19:X19"/>
    <mergeCell ref="AH19:AI19"/>
    <mergeCell ref="AO19:AP19"/>
    <mergeCell ref="AB17:AC17"/>
    <mergeCell ref="AD17:AE17"/>
    <mergeCell ref="AH17:AI17"/>
    <mergeCell ref="AO17:AP17"/>
    <mergeCell ref="AQ17:AR17"/>
    <mergeCell ref="AT17:AU17"/>
    <mergeCell ref="AQ19:AR19"/>
    <mergeCell ref="BB19:BC19"/>
    <mergeCell ref="A20:B20"/>
    <mergeCell ref="C20:D20"/>
    <mergeCell ref="F20:G20"/>
    <mergeCell ref="H20:I20"/>
    <mergeCell ref="J20:K20"/>
    <mergeCell ref="N20:O20"/>
    <mergeCell ref="U20:V20"/>
    <mergeCell ref="W20:X20"/>
    <mergeCell ref="AT20:AU20"/>
    <mergeCell ref="AV20:AW20"/>
    <mergeCell ref="AX20:AY20"/>
    <mergeCell ref="BB20:BC20"/>
    <mergeCell ref="A21:B21"/>
    <mergeCell ref="C21:D21"/>
    <mergeCell ref="F21:G21"/>
    <mergeCell ref="H21:I21"/>
    <mergeCell ref="J21:K21"/>
    <mergeCell ref="N21:O21"/>
    <mergeCell ref="Z20:AA20"/>
    <mergeCell ref="AB20:AC20"/>
    <mergeCell ref="AD20:AE20"/>
    <mergeCell ref="AH20:AI20"/>
    <mergeCell ref="AO20:AP20"/>
    <mergeCell ref="AQ20:AR20"/>
    <mergeCell ref="AV21:AW21"/>
    <mergeCell ref="AX21:AY21"/>
    <mergeCell ref="BB21:BC21"/>
    <mergeCell ref="U21:V21"/>
    <mergeCell ref="W21:X21"/>
    <mergeCell ref="Z21:AA21"/>
    <mergeCell ref="AB21:AC21"/>
    <mergeCell ref="AD21:AE21"/>
    <mergeCell ref="AH21:AI21"/>
    <mergeCell ref="A22:B22"/>
    <mergeCell ref="C22:D22"/>
    <mergeCell ref="F22:G22"/>
    <mergeCell ref="H22:I22"/>
    <mergeCell ref="J22:K22"/>
    <mergeCell ref="N22:O22"/>
    <mergeCell ref="AO21:AP21"/>
    <mergeCell ref="AQ21:AR21"/>
    <mergeCell ref="AT21:AU21"/>
    <mergeCell ref="AO22:AP22"/>
    <mergeCell ref="AQ22:AR22"/>
    <mergeCell ref="AT22:AU22"/>
    <mergeCell ref="AV22:AW22"/>
    <mergeCell ref="AX22:AY22"/>
    <mergeCell ref="BB22:BC22"/>
    <mergeCell ref="U22:V22"/>
    <mergeCell ref="W22:X22"/>
    <mergeCell ref="Z22:AA22"/>
    <mergeCell ref="AB22:AC22"/>
    <mergeCell ref="AD22:AE22"/>
    <mergeCell ref="AH22:AI22"/>
    <mergeCell ref="AO24:AP24"/>
    <mergeCell ref="AQ24:AR24"/>
    <mergeCell ref="BB24:BC24"/>
    <mergeCell ref="A25:B25"/>
    <mergeCell ref="C25:D25"/>
    <mergeCell ref="F25:G25"/>
    <mergeCell ref="H25:I25"/>
    <mergeCell ref="J25:K25"/>
    <mergeCell ref="N25:O25"/>
    <mergeCell ref="U25:V25"/>
    <mergeCell ref="A24:B24"/>
    <mergeCell ref="C24:D24"/>
    <mergeCell ref="N24:O24"/>
    <mergeCell ref="U24:V24"/>
    <mergeCell ref="W24:X24"/>
    <mergeCell ref="AH24:AI24"/>
    <mergeCell ref="AQ25:AR25"/>
    <mergeCell ref="AT25:AU25"/>
    <mergeCell ref="AV25:AW25"/>
    <mergeCell ref="AX25:AY25"/>
    <mergeCell ref="BB25:BC25"/>
    <mergeCell ref="A26:B26"/>
    <mergeCell ref="C26:D26"/>
    <mergeCell ref="F26:G26"/>
    <mergeCell ref="H26:I26"/>
    <mergeCell ref="J26:K26"/>
    <mergeCell ref="W25:X25"/>
    <mergeCell ref="Z25:AA25"/>
    <mergeCell ref="AB25:AC25"/>
    <mergeCell ref="AD25:AE25"/>
    <mergeCell ref="AH25:AI25"/>
    <mergeCell ref="AO25:AP25"/>
    <mergeCell ref="BB26:BC26"/>
    <mergeCell ref="A27:B27"/>
    <mergeCell ref="C27:D27"/>
    <mergeCell ref="F27:G27"/>
    <mergeCell ref="H27:I27"/>
    <mergeCell ref="J27:K27"/>
    <mergeCell ref="N27:O27"/>
    <mergeCell ref="U27:V27"/>
    <mergeCell ref="W27:X27"/>
    <mergeCell ref="Z27:AA27"/>
    <mergeCell ref="AH26:AI26"/>
    <mergeCell ref="AO26:AP26"/>
    <mergeCell ref="AQ26:AR26"/>
    <mergeCell ref="AT26:AU26"/>
    <mergeCell ref="AV26:AW26"/>
    <mergeCell ref="AX26:AY26"/>
    <mergeCell ref="N26:O26"/>
    <mergeCell ref="U26:V26"/>
    <mergeCell ref="W26:X26"/>
    <mergeCell ref="Z26:AA26"/>
    <mergeCell ref="AB26:AC26"/>
    <mergeCell ref="AD26:AE26"/>
    <mergeCell ref="AV27:AW27"/>
    <mergeCell ref="AX27:AY27"/>
    <mergeCell ref="BB27:BC27"/>
    <mergeCell ref="A29:B29"/>
    <mergeCell ref="C29:D29"/>
    <mergeCell ref="N29:O29"/>
    <mergeCell ref="U29:V29"/>
    <mergeCell ref="W29:X29"/>
    <mergeCell ref="AH29:AI29"/>
    <mergeCell ref="AO29:AP29"/>
    <mergeCell ref="AB27:AC27"/>
    <mergeCell ref="AD27:AE27"/>
    <mergeCell ref="AH27:AI27"/>
    <mergeCell ref="AO27:AP27"/>
    <mergeCell ref="AQ27:AR27"/>
    <mergeCell ref="AT27:AU27"/>
    <mergeCell ref="AQ29:AR29"/>
    <mergeCell ref="BB29:BC29"/>
    <mergeCell ref="A30:B30"/>
    <mergeCell ref="C30:D30"/>
    <mergeCell ref="F30:G30"/>
    <mergeCell ref="H30:I30"/>
    <mergeCell ref="J30:K30"/>
    <mergeCell ref="N30:O30"/>
    <mergeCell ref="U30:V30"/>
    <mergeCell ref="W30:X30"/>
    <mergeCell ref="AT30:AU30"/>
    <mergeCell ref="AV30:AW30"/>
    <mergeCell ref="AX30:AY30"/>
    <mergeCell ref="BB30:BC30"/>
    <mergeCell ref="A31:B31"/>
    <mergeCell ref="C31:D31"/>
    <mergeCell ref="F31:G31"/>
    <mergeCell ref="H31:I31"/>
    <mergeCell ref="J31:K31"/>
    <mergeCell ref="N31:O31"/>
    <mergeCell ref="Z30:AA30"/>
    <mergeCell ref="AB30:AC30"/>
    <mergeCell ref="AD30:AE30"/>
    <mergeCell ref="AH30:AI30"/>
    <mergeCell ref="AO30:AP30"/>
    <mergeCell ref="AQ30:AR30"/>
    <mergeCell ref="AV31:AW31"/>
    <mergeCell ref="AX31:AY31"/>
    <mergeCell ref="BB31:BC31"/>
    <mergeCell ref="U31:V31"/>
    <mergeCell ref="W31:X31"/>
    <mergeCell ref="Z31:AA31"/>
    <mergeCell ref="AB31:AC31"/>
    <mergeCell ref="AD31:AE31"/>
    <mergeCell ref="AH31:AI31"/>
    <mergeCell ref="A32:B32"/>
    <mergeCell ref="C32:D32"/>
    <mergeCell ref="F32:G32"/>
    <mergeCell ref="H32:I32"/>
    <mergeCell ref="J32:K32"/>
    <mergeCell ref="N32:O32"/>
    <mergeCell ref="AO31:AP31"/>
    <mergeCell ref="AQ31:AR31"/>
    <mergeCell ref="AT31:AU31"/>
    <mergeCell ref="AO32:AP32"/>
    <mergeCell ref="AQ32:AR32"/>
    <mergeCell ref="AT32:AU32"/>
    <mergeCell ref="AV32:AW32"/>
    <mergeCell ref="AX32:AY32"/>
    <mergeCell ref="BB32:BC32"/>
    <mergeCell ref="U32:V32"/>
    <mergeCell ref="W32:X32"/>
    <mergeCell ref="Z32:AA32"/>
    <mergeCell ref="AB32:AC32"/>
    <mergeCell ref="AD32:AE32"/>
    <mergeCell ref="AH32:AI32"/>
    <mergeCell ref="AO34:AP34"/>
    <mergeCell ref="AQ34:AR34"/>
    <mergeCell ref="BB34:BC34"/>
    <mergeCell ref="A35:B35"/>
    <mergeCell ref="C35:D35"/>
    <mergeCell ref="F35:G35"/>
    <mergeCell ref="H35:I35"/>
    <mergeCell ref="J35:K35"/>
    <mergeCell ref="N35:O35"/>
    <mergeCell ref="U35:V35"/>
    <mergeCell ref="A34:B34"/>
    <mergeCell ref="C34:D34"/>
    <mergeCell ref="N34:O34"/>
    <mergeCell ref="U34:V34"/>
    <mergeCell ref="W34:X34"/>
    <mergeCell ref="AH34:AI34"/>
    <mergeCell ref="AQ35:AR35"/>
    <mergeCell ref="AT35:AU35"/>
    <mergeCell ref="AV35:AW35"/>
    <mergeCell ref="AX35:AY35"/>
    <mergeCell ref="BB35:BC35"/>
    <mergeCell ref="A36:B36"/>
    <mergeCell ref="C36:D36"/>
    <mergeCell ref="F36:G36"/>
    <mergeCell ref="H36:I36"/>
    <mergeCell ref="J36:K36"/>
    <mergeCell ref="W35:X35"/>
    <mergeCell ref="Z35:AA35"/>
    <mergeCell ref="AB35:AC35"/>
    <mergeCell ref="AD35:AE35"/>
    <mergeCell ref="AH35:AI35"/>
    <mergeCell ref="AO35:AP35"/>
    <mergeCell ref="BB36:BC36"/>
    <mergeCell ref="A37:B37"/>
    <mergeCell ref="C37:D37"/>
    <mergeCell ref="F37:G37"/>
    <mergeCell ref="H37:I37"/>
    <mergeCell ref="J37:K37"/>
    <mergeCell ref="N37:O37"/>
    <mergeCell ref="U37:V37"/>
    <mergeCell ref="W37:X37"/>
    <mergeCell ref="Z37:AA37"/>
    <mergeCell ref="AH36:AI36"/>
    <mergeCell ref="AO36:AP36"/>
    <mergeCell ref="AQ36:AR36"/>
    <mergeCell ref="AT36:AU36"/>
    <mergeCell ref="AV36:AW36"/>
    <mergeCell ref="AX36:AY36"/>
    <mergeCell ref="N36:O36"/>
    <mergeCell ref="U36:V36"/>
    <mergeCell ref="W36:X36"/>
    <mergeCell ref="Z36:AA36"/>
    <mergeCell ref="AB36:AC36"/>
    <mergeCell ref="AD36:AE36"/>
    <mergeCell ref="AV37:AW37"/>
    <mergeCell ref="AX37:AY37"/>
    <mergeCell ref="BB37:BC37"/>
    <mergeCell ref="A39:B39"/>
    <mergeCell ref="C39:D39"/>
    <mergeCell ref="F39:G39"/>
    <mergeCell ref="H39:I39"/>
    <mergeCell ref="J39:K39"/>
    <mergeCell ref="N39:O39"/>
    <mergeCell ref="U39:V39"/>
    <mergeCell ref="AB37:AC37"/>
    <mergeCell ref="AD37:AE37"/>
    <mergeCell ref="AH37:AI37"/>
    <mergeCell ref="AO37:AP37"/>
    <mergeCell ref="AQ37:AR37"/>
    <mergeCell ref="AT37:AU37"/>
    <mergeCell ref="AQ39:AR39"/>
    <mergeCell ref="AT39:AU39"/>
    <mergeCell ref="AV39:AW39"/>
    <mergeCell ref="AX39:AY39"/>
    <mergeCell ref="BB39:BC39"/>
    <mergeCell ref="A40:B40"/>
    <mergeCell ref="C40:D40"/>
    <mergeCell ref="F40:G40"/>
    <mergeCell ref="H40:I40"/>
    <mergeCell ref="J40:K40"/>
    <mergeCell ref="W39:X39"/>
    <mergeCell ref="Z39:AA39"/>
    <mergeCell ref="AB39:AC39"/>
    <mergeCell ref="AD39:AE39"/>
    <mergeCell ref="AH39:AI39"/>
    <mergeCell ref="AO39:AP39"/>
    <mergeCell ref="BB40:BC40"/>
    <mergeCell ref="A41:B41"/>
    <mergeCell ref="C41:D41"/>
    <mergeCell ref="F41:G41"/>
    <mergeCell ref="H41:I41"/>
    <mergeCell ref="J41:K41"/>
    <mergeCell ref="N41:O41"/>
    <mergeCell ref="U41:V41"/>
    <mergeCell ref="W41:X41"/>
    <mergeCell ref="Z41:AA41"/>
    <mergeCell ref="AH40:AI40"/>
    <mergeCell ref="AO40:AP40"/>
    <mergeCell ref="AQ40:AR40"/>
    <mergeCell ref="AT40:AU40"/>
    <mergeCell ref="AV40:AW40"/>
    <mergeCell ref="AX40:AY40"/>
    <mergeCell ref="N40:O40"/>
    <mergeCell ref="U40:V40"/>
    <mergeCell ref="W40:X40"/>
    <mergeCell ref="Z40:AA40"/>
    <mergeCell ref="AB40:AC40"/>
    <mergeCell ref="AD40:AE40"/>
    <mergeCell ref="AV41:AW41"/>
    <mergeCell ref="AX41:AY41"/>
    <mergeCell ref="BB41:BC41"/>
    <mergeCell ref="A42:B42"/>
    <mergeCell ref="C42:D42"/>
    <mergeCell ref="F42:G42"/>
    <mergeCell ref="H42:I42"/>
    <mergeCell ref="J42:K42"/>
    <mergeCell ref="N42:O42"/>
    <mergeCell ref="U42:V42"/>
    <mergeCell ref="AB41:AC41"/>
    <mergeCell ref="AD41:AE41"/>
    <mergeCell ref="AH41:AI41"/>
    <mergeCell ref="AO41:AP41"/>
    <mergeCell ref="AQ41:AR41"/>
    <mergeCell ref="AT41:AU41"/>
    <mergeCell ref="AQ42:AR42"/>
    <mergeCell ref="AT42:AU42"/>
    <mergeCell ref="AV42:AW42"/>
    <mergeCell ref="AX42:AY42"/>
    <mergeCell ref="BB42:BC42"/>
    <mergeCell ref="W42:X42"/>
    <mergeCell ref="Z42:AA42"/>
    <mergeCell ref="AB42:AC42"/>
    <mergeCell ref="AD42:AE42"/>
    <mergeCell ref="AH42:AI42"/>
    <mergeCell ref="AO42:AP42"/>
  </mergeCells>
  <phoneticPr fontId="2"/>
  <printOptions horizontalCentered="1" verticalCentered="1"/>
  <pageMargins left="0.39305555555555555" right="0.39305555555555555" top="0.98402777777777772" bottom="0.39305555555555555" header="0.51111111111111107" footer="0.51111111111111107"/>
  <pageSetup paperSize="9" firstPageNumber="42949631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G42"/>
  <sheetViews>
    <sheetView tabSelected="1" zoomScale="75" workbookViewId="0"/>
  </sheetViews>
  <sheetFormatPr defaultColWidth="3.625" defaultRowHeight="13.5" x14ac:dyDescent="0.15"/>
  <cols>
    <col min="1" max="1" width="2.125" style="98" customWidth="1"/>
    <col min="2" max="4" width="3.625" style="98" customWidth="1"/>
    <col min="5" max="22" width="2.375" style="98" customWidth="1"/>
    <col min="23" max="30" width="3.625" style="98" customWidth="1"/>
    <col min="31" max="34" width="5.875" style="98" customWidth="1"/>
    <col min="35" max="35" width="7.375" style="261" hidden="1" customWidth="1"/>
    <col min="36" max="36" width="5.625" style="261" hidden="1" customWidth="1"/>
    <col min="37" max="16384" width="3.625" style="98"/>
  </cols>
  <sheetData>
    <row r="1" spans="2:59" ht="13.5" customHeight="1" x14ac:dyDescent="0.15">
      <c r="B1" s="536" t="str">
        <f>【結果】個人成績表!A1</f>
        <v>第17回　和奈滋対抗戦　　　(和歌山；オーシャンドリーム)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</row>
    <row r="2" spans="2:59" ht="13.5" customHeight="1" x14ac:dyDescent="0.15"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  <c r="AM2" s="536"/>
      <c r="AN2" s="536"/>
    </row>
    <row r="3" spans="2:59" ht="13.5" customHeight="1" x14ac:dyDescent="0.15"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60"/>
      <c r="AJ3" s="260"/>
      <c r="AK3" s="259"/>
      <c r="AL3" s="259"/>
      <c r="AM3" s="259"/>
      <c r="AN3" s="259"/>
    </row>
    <row r="4" spans="2:59" ht="13.5" customHeight="1" x14ac:dyDescent="0.15">
      <c r="AK4" s="537">
        <f>【準備】登録!D4</f>
        <v>43765</v>
      </c>
      <c r="AL4" s="537"/>
      <c r="AM4" s="537"/>
      <c r="AN4" s="537"/>
      <c r="BG4" s="262"/>
    </row>
    <row r="5" spans="2:59" ht="13.5" customHeight="1" thickBot="1" x14ac:dyDescent="0.2">
      <c r="AK5" s="263"/>
      <c r="AL5" s="263"/>
      <c r="AM5" s="263"/>
      <c r="AN5" s="263"/>
      <c r="BG5" s="262"/>
    </row>
    <row r="6" spans="2:59" ht="13.5" customHeight="1" x14ac:dyDescent="0.15">
      <c r="B6" s="451" t="s">
        <v>92</v>
      </c>
      <c r="C6" s="452"/>
      <c r="D6" s="452"/>
      <c r="E6" s="452"/>
      <c r="F6" s="524" t="s">
        <v>129</v>
      </c>
      <c r="G6" s="525"/>
      <c r="H6" s="525"/>
      <c r="I6" s="525"/>
      <c r="J6" s="525"/>
      <c r="K6" s="525"/>
      <c r="L6" s="525"/>
      <c r="M6" s="525"/>
      <c r="N6" s="502" t="s">
        <v>130</v>
      </c>
      <c r="O6" s="502"/>
      <c r="P6" s="502"/>
      <c r="Q6" s="502"/>
      <c r="R6" s="502"/>
      <c r="S6" s="502"/>
      <c r="T6" s="502"/>
      <c r="U6" s="502"/>
      <c r="V6" s="502"/>
      <c r="W6" s="502"/>
      <c r="X6" s="528"/>
      <c r="Y6" s="530" t="s">
        <v>93</v>
      </c>
      <c r="Z6" s="531"/>
      <c r="AA6" s="531"/>
      <c r="AB6" s="531"/>
      <c r="AC6" s="524" t="s">
        <v>131</v>
      </c>
      <c r="AD6" s="525"/>
      <c r="AE6" s="525"/>
      <c r="AF6" s="525"/>
      <c r="AG6" s="502" t="s">
        <v>132</v>
      </c>
      <c r="AH6" s="502"/>
      <c r="AI6" s="502"/>
      <c r="AJ6" s="502"/>
      <c r="AK6" s="502"/>
      <c r="AL6" s="502"/>
      <c r="AM6" s="502"/>
      <c r="AN6" s="503"/>
      <c r="BG6" s="262"/>
    </row>
    <row r="7" spans="2:59" ht="14.25" customHeight="1" thickBot="1" x14ac:dyDescent="0.2">
      <c r="B7" s="457"/>
      <c r="C7" s="458"/>
      <c r="D7" s="458"/>
      <c r="E7" s="458"/>
      <c r="F7" s="526"/>
      <c r="G7" s="527"/>
      <c r="H7" s="527"/>
      <c r="I7" s="527"/>
      <c r="J7" s="527"/>
      <c r="K7" s="527"/>
      <c r="L7" s="527"/>
      <c r="M7" s="527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29"/>
      <c r="Y7" s="533"/>
      <c r="Z7" s="534"/>
      <c r="AA7" s="534"/>
      <c r="AB7" s="534"/>
      <c r="AC7" s="526"/>
      <c r="AD7" s="527"/>
      <c r="AE7" s="527"/>
      <c r="AF7" s="527"/>
      <c r="AG7" s="504"/>
      <c r="AH7" s="504"/>
      <c r="AI7" s="504"/>
      <c r="AJ7" s="504"/>
      <c r="AK7" s="504"/>
      <c r="AL7" s="504"/>
      <c r="AM7" s="504"/>
      <c r="AN7" s="505"/>
      <c r="BG7" s="262"/>
    </row>
    <row r="8" spans="2:59" ht="14.25" customHeight="1" x14ac:dyDescent="0.15">
      <c r="B8" s="451" t="s">
        <v>50</v>
      </c>
      <c r="C8" s="452"/>
      <c r="D8" s="452"/>
      <c r="E8" s="452"/>
      <c r="F8" s="524" t="s">
        <v>131</v>
      </c>
      <c r="G8" s="525"/>
      <c r="H8" s="525"/>
      <c r="I8" s="525"/>
      <c r="J8" s="525"/>
      <c r="K8" s="525"/>
      <c r="L8" s="525"/>
      <c r="M8" s="525"/>
      <c r="N8" s="502" t="s">
        <v>132</v>
      </c>
      <c r="O8" s="502"/>
      <c r="P8" s="502"/>
      <c r="Q8" s="502"/>
      <c r="R8" s="502"/>
      <c r="S8" s="502"/>
      <c r="T8" s="502"/>
      <c r="U8" s="502"/>
      <c r="V8" s="502"/>
      <c r="W8" s="502"/>
      <c r="X8" s="528"/>
      <c r="Y8" s="530" t="s">
        <v>93</v>
      </c>
      <c r="Z8" s="531"/>
      <c r="AA8" s="531"/>
      <c r="AB8" s="532"/>
      <c r="AC8" s="524" t="s">
        <v>133</v>
      </c>
      <c r="AD8" s="525"/>
      <c r="AE8" s="525"/>
      <c r="AF8" s="525"/>
      <c r="AG8" s="502" t="s">
        <v>134</v>
      </c>
      <c r="AH8" s="502"/>
      <c r="AI8" s="502"/>
      <c r="AJ8" s="502"/>
      <c r="AK8" s="502"/>
      <c r="AL8" s="502"/>
      <c r="AM8" s="502"/>
      <c r="AN8" s="503"/>
      <c r="BG8" s="262"/>
    </row>
    <row r="9" spans="2:59" ht="14.25" customHeight="1" thickBot="1" x14ac:dyDescent="0.2">
      <c r="B9" s="457"/>
      <c r="C9" s="458"/>
      <c r="D9" s="458"/>
      <c r="E9" s="458"/>
      <c r="F9" s="526"/>
      <c r="G9" s="527"/>
      <c r="H9" s="527"/>
      <c r="I9" s="527"/>
      <c r="J9" s="527"/>
      <c r="K9" s="527"/>
      <c r="L9" s="527"/>
      <c r="M9" s="527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29"/>
      <c r="Y9" s="533"/>
      <c r="Z9" s="534"/>
      <c r="AA9" s="534"/>
      <c r="AB9" s="535"/>
      <c r="AC9" s="526"/>
      <c r="AD9" s="527"/>
      <c r="AE9" s="527"/>
      <c r="AF9" s="527"/>
      <c r="AG9" s="504"/>
      <c r="AH9" s="504"/>
      <c r="AI9" s="504"/>
      <c r="AJ9" s="504"/>
      <c r="AK9" s="504"/>
      <c r="AL9" s="504"/>
      <c r="AM9" s="504"/>
      <c r="AN9" s="505"/>
      <c r="BG9" s="262"/>
    </row>
    <row r="10" spans="2:59" x14ac:dyDescent="0.15">
      <c r="BG10" s="262"/>
    </row>
    <row r="11" spans="2:59" ht="14.25" thickBot="1" x14ac:dyDescent="0.2">
      <c r="BG11" s="262"/>
    </row>
    <row r="12" spans="2:59" ht="14.25" customHeight="1" x14ac:dyDescent="0.15">
      <c r="B12" s="264"/>
      <c r="C12" s="265"/>
      <c r="D12" s="266"/>
      <c r="E12" s="451" t="str">
        <f>B16</f>
        <v>WRC</v>
      </c>
      <c r="F12" s="452"/>
      <c r="G12" s="452"/>
      <c r="H12" s="452"/>
      <c r="I12" s="452"/>
      <c r="J12" s="453"/>
      <c r="K12" s="451" t="str">
        <f>B22</f>
        <v>NRC</v>
      </c>
      <c r="L12" s="452"/>
      <c r="M12" s="452"/>
      <c r="N12" s="452"/>
      <c r="O12" s="452"/>
      <c r="P12" s="453"/>
      <c r="Q12" s="451" t="str">
        <f>B28</f>
        <v>SBC</v>
      </c>
      <c r="R12" s="452"/>
      <c r="S12" s="452"/>
      <c r="T12" s="452"/>
      <c r="U12" s="452"/>
      <c r="V12" s="453"/>
      <c r="W12" s="509" t="s">
        <v>31</v>
      </c>
      <c r="X12" s="510"/>
      <c r="Y12" s="510"/>
      <c r="Z12" s="511"/>
      <c r="AA12" s="518" t="s">
        <v>73</v>
      </c>
      <c r="AB12" s="510"/>
      <c r="AC12" s="510"/>
      <c r="AD12" s="511"/>
      <c r="AE12" s="518" t="s">
        <v>74</v>
      </c>
      <c r="AF12" s="510"/>
      <c r="AG12" s="510"/>
      <c r="AH12" s="511"/>
      <c r="AI12" s="267"/>
      <c r="AJ12" s="267"/>
      <c r="AK12" s="518" t="s">
        <v>94</v>
      </c>
      <c r="AL12" s="510"/>
      <c r="AM12" s="510"/>
      <c r="AN12" s="521"/>
      <c r="BG12" s="262"/>
    </row>
    <row r="13" spans="2:59" ht="14.25" customHeight="1" thickBot="1" x14ac:dyDescent="0.2">
      <c r="B13" s="268"/>
      <c r="C13" s="269"/>
      <c r="D13" s="270"/>
      <c r="E13" s="506"/>
      <c r="F13" s="507"/>
      <c r="G13" s="507"/>
      <c r="H13" s="507"/>
      <c r="I13" s="507"/>
      <c r="J13" s="508"/>
      <c r="K13" s="506"/>
      <c r="L13" s="507"/>
      <c r="M13" s="507"/>
      <c r="N13" s="507"/>
      <c r="O13" s="507"/>
      <c r="P13" s="508"/>
      <c r="Q13" s="506"/>
      <c r="R13" s="507"/>
      <c r="S13" s="507"/>
      <c r="T13" s="507"/>
      <c r="U13" s="507"/>
      <c r="V13" s="508"/>
      <c r="W13" s="512"/>
      <c r="X13" s="513"/>
      <c r="Y13" s="513"/>
      <c r="Z13" s="514"/>
      <c r="AA13" s="519"/>
      <c r="AB13" s="513"/>
      <c r="AC13" s="513"/>
      <c r="AD13" s="514"/>
      <c r="AE13" s="519"/>
      <c r="AF13" s="513"/>
      <c r="AG13" s="513"/>
      <c r="AH13" s="514"/>
      <c r="AI13" s="271" t="s">
        <v>95</v>
      </c>
      <c r="AJ13" s="272" t="s">
        <v>74</v>
      </c>
      <c r="AK13" s="519"/>
      <c r="AL13" s="513"/>
      <c r="AM13" s="513"/>
      <c r="AN13" s="522"/>
      <c r="BG13" s="262"/>
    </row>
    <row r="14" spans="2:59" ht="14.25" customHeight="1" thickTop="1" x14ac:dyDescent="0.15">
      <c r="B14" s="268"/>
      <c r="C14" s="269"/>
      <c r="D14" s="270"/>
      <c r="E14" s="484" t="s">
        <v>31</v>
      </c>
      <c r="F14" s="485"/>
      <c r="G14" s="486"/>
      <c r="H14" s="490" t="s">
        <v>73</v>
      </c>
      <c r="I14" s="485"/>
      <c r="J14" s="491"/>
      <c r="K14" s="484" t="s">
        <v>31</v>
      </c>
      <c r="L14" s="485"/>
      <c r="M14" s="486"/>
      <c r="N14" s="490" t="s">
        <v>73</v>
      </c>
      <c r="O14" s="485"/>
      <c r="P14" s="491"/>
      <c r="Q14" s="484" t="s">
        <v>31</v>
      </c>
      <c r="R14" s="485"/>
      <c r="S14" s="486"/>
      <c r="T14" s="490" t="s">
        <v>73</v>
      </c>
      <c r="U14" s="485"/>
      <c r="V14" s="491"/>
      <c r="W14" s="512"/>
      <c r="X14" s="513"/>
      <c r="Y14" s="513"/>
      <c r="Z14" s="514"/>
      <c r="AA14" s="519"/>
      <c r="AB14" s="513"/>
      <c r="AC14" s="513"/>
      <c r="AD14" s="514"/>
      <c r="AE14" s="519"/>
      <c r="AF14" s="513"/>
      <c r="AG14" s="513"/>
      <c r="AH14" s="514"/>
      <c r="AK14" s="519"/>
      <c r="AL14" s="513"/>
      <c r="AM14" s="513"/>
      <c r="AN14" s="522"/>
      <c r="BG14" s="262"/>
    </row>
    <row r="15" spans="2:59" ht="14.25" customHeight="1" thickBot="1" x14ac:dyDescent="0.2">
      <c r="B15" s="273"/>
      <c r="C15" s="274"/>
      <c r="D15" s="275"/>
      <c r="E15" s="487"/>
      <c r="F15" s="488"/>
      <c r="G15" s="489"/>
      <c r="H15" s="492"/>
      <c r="I15" s="488"/>
      <c r="J15" s="493"/>
      <c r="K15" s="487"/>
      <c r="L15" s="488"/>
      <c r="M15" s="489"/>
      <c r="N15" s="492"/>
      <c r="O15" s="488"/>
      <c r="P15" s="493"/>
      <c r="Q15" s="487"/>
      <c r="R15" s="488"/>
      <c r="S15" s="489"/>
      <c r="T15" s="492"/>
      <c r="U15" s="488"/>
      <c r="V15" s="493"/>
      <c r="W15" s="515"/>
      <c r="X15" s="516"/>
      <c r="Y15" s="516"/>
      <c r="Z15" s="517"/>
      <c r="AA15" s="520"/>
      <c r="AB15" s="516"/>
      <c r="AC15" s="516"/>
      <c r="AD15" s="517"/>
      <c r="AE15" s="520"/>
      <c r="AF15" s="516"/>
      <c r="AG15" s="516"/>
      <c r="AH15" s="517"/>
      <c r="AI15" s="276"/>
      <c r="AJ15" s="277"/>
      <c r="AK15" s="520"/>
      <c r="AL15" s="516"/>
      <c r="AM15" s="516"/>
      <c r="AN15" s="523"/>
      <c r="BG15" s="262"/>
    </row>
    <row r="16" spans="2:59" ht="15" customHeight="1" thickTop="1" x14ac:dyDescent="0.15">
      <c r="B16" s="494" t="str">
        <f>IF(【準備】登録!B11="","",【準備】登録!B11)</f>
        <v>WRC</v>
      </c>
      <c r="C16" s="495"/>
      <c r="D16" s="496"/>
      <c r="E16" s="497"/>
      <c r="F16" s="498"/>
      <c r="G16" s="498"/>
      <c r="H16" s="498"/>
      <c r="I16" s="498"/>
      <c r="J16" s="499"/>
      <c r="K16" s="460">
        <f>IF(【結果】個人成績表!R14="","",【結果】個人成績表!R14-Q16)</f>
        <v>4</v>
      </c>
      <c r="L16" s="461"/>
      <c r="M16" s="462"/>
      <c r="N16" s="480">
        <f>IF(【結果】個人成績表!S14="","",【結果】個人成績表!S14-T16)</f>
        <v>3</v>
      </c>
      <c r="O16" s="500"/>
      <c r="P16" s="501"/>
      <c r="Q16" s="460">
        <f>【結果】個人成績表!H14</f>
        <v>1</v>
      </c>
      <c r="R16" s="461"/>
      <c r="S16" s="462"/>
      <c r="T16" s="428">
        <f>【結果】個人成績表!I14</f>
        <v>6</v>
      </c>
      <c r="U16" s="461"/>
      <c r="V16" s="463"/>
      <c r="W16" s="477">
        <f>IF(Q16="","",SUM(Q16:S21,K16:M21))</f>
        <v>21</v>
      </c>
      <c r="X16" s="477"/>
      <c r="Y16" s="477"/>
      <c r="Z16" s="478"/>
      <c r="AA16" s="479">
        <f>IF(T16="","",SUM(T16:V21,N16:P21))</f>
        <v>21</v>
      </c>
      <c r="AB16" s="477"/>
      <c r="AC16" s="477"/>
      <c r="AD16" s="478"/>
      <c r="AE16" s="480" t="str">
        <f>IF(【結果】個人成績表!BH14="","","("&amp;【結果】個人成績表!BH14&amp;")")</f>
        <v>(5481)</v>
      </c>
      <c r="AF16" s="481"/>
      <c r="AG16" s="481"/>
      <c r="AH16" s="482"/>
      <c r="AI16" s="278">
        <f>【結果】個人成績表!BH14</f>
        <v>5481</v>
      </c>
      <c r="AJ16" s="278">
        <f>【結果】個人成績表!CE14</f>
        <v>5684.1428571428569</v>
      </c>
      <c r="AK16" s="479">
        <f>IF(AE18="","",RANK(W$16:W$33,W$16:W$33,0))</f>
        <v>2</v>
      </c>
      <c r="AL16" s="477"/>
      <c r="AM16" s="477"/>
      <c r="AN16" s="483"/>
      <c r="BG16" s="262"/>
    </row>
    <row r="17" spans="2:59" ht="15" customHeight="1" x14ac:dyDescent="0.15">
      <c r="B17" s="454"/>
      <c r="C17" s="455"/>
      <c r="D17" s="456"/>
      <c r="E17" s="467"/>
      <c r="F17" s="468"/>
      <c r="G17" s="468"/>
      <c r="H17" s="468"/>
      <c r="I17" s="468"/>
      <c r="J17" s="469"/>
      <c r="K17" s="438"/>
      <c r="L17" s="439"/>
      <c r="M17" s="440"/>
      <c r="N17" s="441"/>
      <c r="O17" s="439"/>
      <c r="P17" s="442"/>
      <c r="Q17" s="438"/>
      <c r="R17" s="439"/>
      <c r="S17" s="440"/>
      <c r="T17" s="441"/>
      <c r="U17" s="439"/>
      <c r="V17" s="442"/>
      <c r="W17" s="422"/>
      <c r="X17" s="422"/>
      <c r="Y17" s="422"/>
      <c r="Z17" s="423"/>
      <c r="AA17" s="426"/>
      <c r="AB17" s="422"/>
      <c r="AC17" s="422"/>
      <c r="AD17" s="423"/>
      <c r="AE17" s="431"/>
      <c r="AF17" s="432"/>
      <c r="AG17" s="432"/>
      <c r="AH17" s="433"/>
      <c r="AI17" s="279"/>
      <c r="AJ17" s="279"/>
      <c r="AK17" s="426"/>
      <c r="AL17" s="422"/>
      <c r="AM17" s="422"/>
      <c r="AN17" s="434"/>
      <c r="BG17" s="262"/>
    </row>
    <row r="18" spans="2:59" ht="15" customHeight="1" x14ac:dyDescent="0.15">
      <c r="B18" s="454"/>
      <c r="C18" s="455"/>
      <c r="D18" s="456"/>
      <c r="E18" s="467"/>
      <c r="F18" s="468"/>
      <c r="G18" s="468"/>
      <c r="H18" s="468"/>
      <c r="I18" s="468"/>
      <c r="J18" s="469"/>
      <c r="K18" s="436">
        <f>IF(【結果】個人成績表!AL14="","",【結果】個人成績表!AL14-【結果】個人成績表!AB14)</f>
        <v>5</v>
      </c>
      <c r="L18" s="417"/>
      <c r="M18" s="437"/>
      <c r="N18" s="416">
        <f>IF(【結果】個人成績表!AM14="","",【結果】個人成績表!AM14-【結果】個人成績表!AC14)</f>
        <v>2</v>
      </c>
      <c r="O18" s="417"/>
      <c r="P18" s="418"/>
      <c r="Q18" s="436">
        <f>IF(【結果】個人成績表!AB14="","",【結果】個人成績表!AB14-【結果】個人成績表!R14)</f>
        <v>3</v>
      </c>
      <c r="R18" s="417"/>
      <c r="S18" s="437"/>
      <c r="T18" s="416">
        <f>IF(【結果】個人成績表!AC14="","",【結果】個人成績表!AC14-【結果】個人成績表!S14)</f>
        <v>4</v>
      </c>
      <c r="U18" s="417"/>
      <c r="V18" s="418"/>
      <c r="W18" s="422"/>
      <c r="X18" s="422"/>
      <c r="Y18" s="422"/>
      <c r="Z18" s="423"/>
      <c r="AA18" s="426"/>
      <c r="AB18" s="422"/>
      <c r="AC18" s="422"/>
      <c r="AD18" s="423"/>
      <c r="AE18" s="443">
        <f>IF(【結果】個人成績表!CE14=0,"",【結果】個人成績表!CE14)</f>
        <v>5684.1428571428569</v>
      </c>
      <c r="AF18" s="432"/>
      <c r="AG18" s="432"/>
      <c r="AH18" s="433"/>
      <c r="AI18" s="279"/>
      <c r="AJ18" s="279"/>
      <c r="AK18" s="426"/>
      <c r="AL18" s="422"/>
      <c r="AM18" s="422"/>
      <c r="AN18" s="434"/>
      <c r="BG18" s="262"/>
    </row>
    <row r="19" spans="2:59" ht="15" customHeight="1" x14ac:dyDescent="0.15">
      <c r="B19" s="454"/>
      <c r="C19" s="455"/>
      <c r="D19" s="456"/>
      <c r="E19" s="467"/>
      <c r="F19" s="468"/>
      <c r="G19" s="468"/>
      <c r="H19" s="468"/>
      <c r="I19" s="468"/>
      <c r="J19" s="469"/>
      <c r="K19" s="438"/>
      <c r="L19" s="439"/>
      <c r="M19" s="440"/>
      <c r="N19" s="441"/>
      <c r="O19" s="439"/>
      <c r="P19" s="442"/>
      <c r="Q19" s="438"/>
      <c r="R19" s="439"/>
      <c r="S19" s="440"/>
      <c r="T19" s="441"/>
      <c r="U19" s="439"/>
      <c r="V19" s="442"/>
      <c r="W19" s="422"/>
      <c r="X19" s="422"/>
      <c r="Y19" s="422"/>
      <c r="Z19" s="423"/>
      <c r="AA19" s="426"/>
      <c r="AB19" s="422"/>
      <c r="AC19" s="422"/>
      <c r="AD19" s="423"/>
      <c r="AE19" s="431"/>
      <c r="AF19" s="432"/>
      <c r="AG19" s="432"/>
      <c r="AH19" s="433"/>
      <c r="AI19" s="279"/>
      <c r="AJ19" s="279"/>
      <c r="AK19" s="426"/>
      <c r="AL19" s="422"/>
      <c r="AM19" s="422"/>
      <c r="AN19" s="434"/>
      <c r="BG19" s="262"/>
    </row>
    <row r="20" spans="2:59" ht="15" customHeight="1" x14ac:dyDescent="0.15">
      <c r="B20" s="454"/>
      <c r="C20" s="455"/>
      <c r="D20" s="456"/>
      <c r="E20" s="467"/>
      <c r="F20" s="468"/>
      <c r="G20" s="468"/>
      <c r="H20" s="468"/>
      <c r="I20" s="468"/>
      <c r="J20" s="469"/>
      <c r="K20" s="436">
        <f>IF(【結果】個人成績表!BF14="","",【結果】個人成績表!BF14-【結果】個人成績表!AV14)</f>
        <v>4</v>
      </c>
      <c r="L20" s="417"/>
      <c r="M20" s="437"/>
      <c r="N20" s="416">
        <f>IF(【結果】個人成績表!BG14="","",【結果】個人成績表!BG14-【結果】個人成績表!AW14)</f>
        <v>3</v>
      </c>
      <c r="O20" s="417"/>
      <c r="P20" s="418"/>
      <c r="Q20" s="436">
        <f>IF(【結果】個人成績表!AV14="","",【結果】個人成績表!AV14-【結果】個人成績表!AL14)</f>
        <v>4</v>
      </c>
      <c r="R20" s="417"/>
      <c r="S20" s="437"/>
      <c r="T20" s="416">
        <f>IF(【結果】個人成績表!AW14="","",【結果】個人成績表!AW14-【結果】個人成績表!AM14)</f>
        <v>3</v>
      </c>
      <c r="U20" s="417"/>
      <c r="V20" s="418"/>
      <c r="W20" s="422"/>
      <c r="X20" s="422"/>
      <c r="Y20" s="422"/>
      <c r="Z20" s="423"/>
      <c r="AA20" s="426"/>
      <c r="AB20" s="422"/>
      <c r="AC20" s="422"/>
      <c r="AD20" s="423"/>
      <c r="AE20" s="431"/>
      <c r="AF20" s="432"/>
      <c r="AG20" s="432"/>
      <c r="AH20" s="433"/>
      <c r="AI20" s="279"/>
      <c r="AJ20" s="279"/>
      <c r="AK20" s="426"/>
      <c r="AL20" s="422"/>
      <c r="AM20" s="422"/>
      <c r="AN20" s="434"/>
      <c r="BG20" s="262"/>
    </row>
    <row r="21" spans="2:59" ht="15" customHeight="1" thickBot="1" x14ac:dyDescent="0.2">
      <c r="B21" s="457"/>
      <c r="C21" s="458"/>
      <c r="D21" s="459"/>
      <c r="E21" s="470"/>
      <c r="F21" s="471"/>
      <c r="G21" s="471"/>
      <c r="H21" s="471"/>
      <c r="I21" s="471"/>
      <c r="J21" s="472"/>
      <c r="K21" s="449"/>
      <c r="L21" s="420"/>
      <c r="M21" s="450"/>
      <c r="N21" s="419"/>
      <c r="O21" s="420"/>
      <c r="P21" s="421"/>
      <c r="Q21" s="449"/>
      <c r="R21" s="420"/>
      <c r="S21" s="450"/>
      <c r="T21" s="419"/>
      <c r="U21" s="420"/>
      <c r="V21" s="421"/>
      <c r="W21" s="424"/>
      <c r="X21" s="424"/>
      <c r="Y21" s="424"/>
      <c r="Z21" s="425"/>
      <c r="AA21" s="427"/>
      <c r="AB21" s="424"/>
      <c r="AC21" s="424"/>
      <c r="AD21" s="425"/>
      <c r="AE21" s="431"/>
      <c r="AF21" s="432"/>
      <c r="AG21" s="432"/>
      <c r="AH21" s="433"/>
      <c r="AI21" s="279"/>
      <c r="AJ21" s="279"/>
      <c r="AK21" s="426"/>
      <c r="AL21" s="422"/>
      <c r="AM21" s="422"/>
      <c r="AN21" s="434"/>
      <c r="BG21" s="262"/>
    </row>
    <row r="22" spans="2:59" ht="15" customHeight="1" x14ac:dyDescent="0.15">
      <c r="B22" s="451" t="str">
        <f>IF(【準備】登録!B12="","",【準備】登録!B12)</f>
        <v>NRC</v>
      </c>
      <c r="C22" s="452"/>
      <c r="D22" s="453"/>
      <c r="E22" s="460">
        <f>N16</f>
        <v>3</v>
      </c>
      <c r="F22" s="461"/>
      <c r="G22" s="462"/>
      <c r="H22" s="428">
        <f>K16</f>
        <v>4</v>
      </c>
      <c r="I22" s="461"/>
      <c r="J22" s="463"/>
      <c r="K22" s="464"/>
      <c r="L22" s="465"/>
      <c r="M22" s="465"/>
      <c r="N22" s="465"/>
      <c r="O22" s="465"/>
      <c r="P22" s="466"/>
      <c r="Q22" s="460">
        <f>IF(【結果】個人成績表!R24="","",【結果】個人成績表!R24-【結果】個人成績表!H24)</f>
        <v>2</v>
      </c>
      <c r="R22" s="461"/>
      <c r="S22" s="462"/>
      <c r="T22" s="428">
        <f>IF(【結果】個人成績表!S24="","",【結果】個人成績表!S24-【結果】個人成績表!I24)</f>
        <v>5</v>
      </c>
      <c r="U22" s="461"/>
      <c r="V22" s="463"/>
      <c r="W22" s="473">
        <f>IF(E22="","",SUM(E22:G27,Q22:S27))</f>
        <v>16</v>
      </c>
      <c r="X22" s="473"/>
      <c r="Y22" s="473"/>
      <c r="Z22" s="474"/>
      <c r="AA22" s="475">
        <f>IF(H22="","",SUM(H22:J27,T22:V27))</f>
        <v>26</v>
      </c>
      <c r="AB22" s="473"/>
      <c r="AC22" s="473"/>
      <c r="AD22" s="474"/>
      <c r="AE22" s="428" t="str">
        <f>IF(【結果】個人成績表!BH24="","","("&amp;【結果】個人成績表!BH24&amp;")")</f>
        <v>(4791)</v>
      </c>
      <c r="AF22" s="429"/>
      <c r="AG22" s="429"/>
      <c r="AH22" s="430"/>
      <c r="AI22" s="280">
        <f>【結果】個人成績表!BH24</f>
        <v>4791</v>
      </c>
      <c r="AJ22" s="280">
        <f>【結果】個人成績表!CE24</f>
        <v>4948.7142857142862</v>
      </c>
      <c r="AK22" s="475">
        <f>IF(AE24="","",RANK(W$16:W$33,W$16:W$33,0))</f>
        <v>3</v>
      </c>
      <c r="AL22" s="473"/>
      <c r="AM22" s="473"/>
      <c r="AN22" s="476"/>
      <c r="BG22" s="262"/>
    </row>
    <row r="23" spans="2:59" ht="15" customHeight="1" x14ac:dyDescent="0.15">
      <c r="B23" s="454"/>
      <c r="C23" s="455"/>
      <c r="D23" s="456"/>
      <c r="E23" s="438"/>
      <c r="F23" s="439"/>
      <c r="G23" s="440"/>
      <c r="H23" s="441"/>
      <c r="I23" s="439"/>
      <c r="J23" s="442"/>
      <c r="K23" s="467"/>
      <c r="L23" s="468"/>
      <c r="M23" s="468"/>
      <c r="N23" s="468"/>
      <c r="O23" s="468"/>
      <c r="P23" s="469"/>
      <c r="Q23" s="438"/>
      <c r="R23" s="439"/>
      <c r="S23" s="440"/>
      <c r="T23" s="441"/>
      <c r="U23" s="439"/>
      <c r="V23" s="442"/>
      <c r="W23" s="422"/>
      <c r="X23" s="422"/>
      <c r="Y23" s="422"/>
      <c r="Z23" s="423"/>
      <c r="AA23" s="426"/>
      <c r="AB23" s="422"/>
      <c r="AC23" s="422"/>
      <c r="AD23" s="423"/>
      <c r="AE23" s="431"/>
      <c r="AF23" s="432"/>
      <c r="AG23" s="432"/>
      <c r="AH23" s="433"/>
      <c r="AI23" s="279"/>
      <c r="AJ23" s="279"/>
      <c r="AK23" s="426"/>
      <c r="AL23" s="422"/>
      <c r="AM23" s="422"/>
      <c r="AN23" s="434"/>
      <c r="BG23" s="262"/>
    </row>
    <row r="24" spans="2:59" ht="15" customHeight="1" x14ac:dyDescent="0.15">
      <c r="B24" s="454"/>
      <c r="C24" s="455"/>
      <c r="D24" s="456"/>
      <c r="E24" s="436">
        <f>N18</f>
        <v>2</v>
      </c>
      <c r="F24" s="417"/>
      <c r="G24" s="437"/>
      <c r="H24" s="416">
        <f>K18</f>
        <v>5</v>
      </c>
      <c r="I24" s="417"/>
      <c r="J24" s="418"/>
      <c r="K24" s="467"/>
      <c r="L24" s="468"/>
      <c r="M24" s="468"/>
      <c r="N24" s="468"/>
      <c r="O24" s="468"/>
      <c r="P24" s="469"/>
      <c r="Q24" s="436">
        <f>IF(【結果】個人成績表!AL24="","",【結果】個人成績表!AL24-【結果】個人成績表!AB24)</f>
        <v>1</v>
      </c>
      <c r="R24" s="417"/>
      <c r="S24" s="437"/>
      <c r="T24" s="416">
        <f>IF(【結果】個人成績表!AM24="","",【結果】個人成績表!AM24-【結果】個人成績表!AC24)</f>
        <v>6</v>
      </c>
      <c r="U24" s="417"/>
      <c r="V24" s="418"/>
      <c r="W24" s="422"/>
      <c r="X24" s="422"/>
      <c r="Y24" s="422"/>
      <c r="Z24" s="423"/>
      <c r="AA24" s="426"/>
      <c r="AB24" s="422"/>
      <c r="AC24" s="422"/>
      <c r="AD24" s="423"/>
      <c r="AE24" s="443">
        <f>IF(【結果】個人成績表!CE24=0,"",【結果】個人成績表!CE24)</f>
        <v>4948.7142857142862</v>
      </c>
      <c r="AF24" s="444"/>
      <c r="AG24" s="444"/>
      <c r="AH24" s="445"/>
      <c r="AI24" s="281"/>
      <c r="AJ24" s="281"/>
      <c r="AK24" s="426"/>
      <c r="AL24" s="422"/>
      <c r="AM24" s="422"/>
      <c r="AN24" s="434"/>
      <c r="BG24" s="262"/>
    </row>
    <row r="25" spans="2:59" ht="15" customHeight="1" x14ac:dyDescent="0.15">
      <c r="B25" s="454"/>
      <c r="C25" s="455"/>
      <c r="D25" s="456"/>
      <c r="E25" s="438"/>
      <c r="F25" s="439"/>
      <c r="G25" s="440"/>
      <c r="H25" s="441"/>
      <c r="I25" s="439"/>
      <c r="J25" s="442"/>
      <c r="K25" s="467"/>
      <c r="L25" s="468"/>
      <c r="M25" s="468"/>
      <c r="N25" s="468"/>
      <c r="O25" s="468"/>
      <c r="P25" s="469"/>
      <c r="Q25" s="438"/>
      <c r="R25" s="439"/>
      <c r="S25" s="440"/>
      <c r="T25" s="441"/>
      <c r="U25" s="439"/>
      <c r="V25" s="442"/>
      <c r="W25" s="422"/>
      <c r="X25" s="422"/>
      <c r="Y25" s="422"/>
      <c r="Z25" s="423"/>
      <c r="AA25" s="426"/>
      <c r="AB25" s="422"/>
      <c r="AC25" s="422"/>
      <c r="AD25" s="423"/>
      <c r="AE25" s="443"/>
      <c r="AF25" s="444"/>
      <c r="AG25" s="444"/>
      <c r="AH25" s="445"/>
      <c r="AI25" s="281"/>
      <c r="AJ25" s="281"/>
      <c r="AK25" s="426"/>
      <c r="AL25" s="422"/>
      <c r="AM25" s="422"/>
      <c r="AN25" s="434"/>
      <c r="BG25" s="262"/>
    </row>
    <row r="26" spans="2:59" ht="15" customHeight="1" x14ac:dyDescent="0.15">
      <c r="B26" s="454"/>
      <c r="C26" s="455"/>
      <c r="D26" s="456"/>
      <c r="E26" s="436">
        <f>N20</f>
        <v>3</v>
      </c>
      <c r="F26" s="417"/>
      <c r="G26" s="437"/>
      <c r="H26" s="416">
        <f>K20</f>
        <v>4</v>
      </c>
      <c r="I26" s="417"/>
      <c r="J26" s="418"/>
      <c r="K26" s="467"/>
      <c r="L26" s="468"/>
      <c r="M26" s="468"/>
      <c r="N26" s="468"/>
      <c r="O26" s="468"/>
      <c r="P26" s="469"/>
      <c r="Q26" s="436">
        <f>IF(【結果】個人成績表!BF24="","",【結果】個人成績表!BF24-【結果】個人成績表!AV24)</f>
        <v>5</v>
      </c>
      <c r="R26" s="417"/>
      <c r="S26" s="437"/>
      <c r="T26" s="416">
        <f>IF(【結果】個人成績表!BG24="","",【結果】個人成績表!BG24-【結果】個人成績表!AW24)</f>
        <v>2</v>
      </c>
      <c r="U26" s="417"/>
      <c r="V26" s="418"/>
      <c r="W26" s="422"/>
      <c r="X26" s="422"/>
      <c r="Y26" s="422"/>
      <c r="Z26" s="423"/>
      <c r="AA26" s="426"/>
      <c r="AB26" s="422"/>
      <c r="AC26" s="422"/>
      <c r="AD26" s="423"/>
      <c r="AE26" s="443"/>
      <c r="AF26" s="444"/>
      <c r="AG26" s="444"/>
      <c r="AH26" s="445"/>
      <c r="AI26" s="281"/>
      <c r="AJ26" s="281"/>
      <c r="AK26" s="426"/>
      <c r="AL26" s="422"/>
      <c r="AM26" s="422"/>
      <c r="AN26" s="434"/>
      <c r="BG26" s="262"/>
    </row>
    <row r="27" spans="2:59" ht="15" customHeight="1" thickBot="1" x14ac:dyDescent="0.2">
      <c r="B27" s="457"/>
      <c r="C27" s="458"/>
      <c r="D27" s="459"/>
      <c r="E27" s="449"/>
      <c r="F27" s="420"/>
      <c r="G27" s="450"/>
      <c r="H27" s="419"/>
      <c r="I27" s="420"/>
      <c r="J27" s="421"/>
      <c r="K27" s="470"/>
      <c r="L27" s="471"/>
      <c r="M27" s="471"/>
      <c r="N27" s="471"/>
      <c r="O27" s="471"/>
      <c r="P27" s="472"/>
      <c r="Q27" s="449"/>
      <c r="R27" s="420"/>
      <c r="S27" s="450"/>
      <c r="T27" s="419"/>
      <c r="U27" s="420"/>
      <c r="V27" s="421"/>
      <c r="W27" s="424"/>
      <c r="X27" s="424"/>
      <c r="Y27" s="424"/>
      <c r="Z27" s="425"/>
      <c r="AA27" s="427"/>
      <c r="AB27" s="424"/>
      <c r="AC27" s="424"/>
      <c r="AD27" s="425"/>
      <c r="AE27" s="446"/>
      <c r="AF27" s="447"/>
      <c r="AG27" s="447"/>
      <c r="AH27" s="448"/>
      <c r="AI27" s="282"/>
      <c r="AJ27" s="282"/>
      <c r="AK27" s="427"/>
      <c r="AL27" s="424"/>
      <c r="AM27" s="424"/>
      <c r="AN27" s="435"/>
      <c r="BG27" s="262"/>
    </row>
    <row r="28" spans="2:59" ht="15" customHeight="1" x14ac:dyDescent="0.15">
      <c r="B28" s="451" t="str">
        <f>IF(【準備】登録!B13="","",【準備】登録!B13)</f>
        <v>SBC</v>
      </c>
      <c r="C28" s="452"/>
      <c r="D28" s="453"/>
      <c r="E28" s="460">
        <f>【結果】個人成績表!H34</f>
        <v>6</v>
      </c>
      <c r="F28" s="461"/>
      <c r="G28" s="462"/>
      <c r="H28" s="428">
        <f>【結果】個人成績表!I34</f>
        <v>1</v>
      </c>
      <c r="I28" s="461"/>
      <c r="J28" s="463"/>
      <c r="K28" s="460">
        <f>T22</f>
        <v>5</v>
      </c>
      <c r="L28" s="461"/>
      <c r="M28" s="462"/>
      <c r="N28" s="428">
        <f>Q22</f>
        <v>2</v>
      </c>
      <c r="O28" s="461"/>
      <c r="P28" s="463"/>
      <c r="Q28" s="464"/>
      <c r="R28" s="465"/>
      <c r="S28" s="465"/>
      <c r="T28" s="465"/>
      <c r="U28" s="465"/>
      <c r="V28" s="466"/>
      <c r="W28" s="422">
        <f>IF(E28="","",SUM(E28:G33,K28:M33))</f>
        <v>26</v>
      </c>
      <c r="X28" s="422"/>
      <c r="Y28" s="422"/>
      <c r="Z28" s="423"/>
      <c r="AA28" s="426">
        <f>IF(H28="","",SUM(H28:J33,N28:P33))</f>
        <v>16</v>
      </c>
      <c r="AB28" s="422"/>
      <c r="AC28" s="422"/>
      <c r="AD28" s="423"/>
      <c r="AE28" s="428" t="str">
        <f>IF(【結果】個人成績表!BH34="","","("&amp;【結果】個人成績表!BH34&amp;")")</f>
        <v>(5946)</v>
      </c>
      <c r="AF28" s="429"/>
      <c r="AG28" s="429"/>
      <c r="AH28" s="430"/>
      <c r="AI28" s="279">
        <f>【結果】個人成績表!BH34</f>
        <v>5946</v>
      </c>
      <c r="AJ28" s="279">
        <f>【結果】個人成績表!CE34</f>
        <v>6085.7142857142862</v>
      </c>
      <c r="AK28" s="426">
        <f>IF(AE30="","",RANK(W$16:W$33,W$16:W$33,0))</f>
        <v>1</v>
      </c>
      <c r="AL28" s="422"/>
      <c r="AM28" s="422"/>
      <c r="AN28" s="434"/>
      <c r="BG28" s="262"/>
    </row>
    <row r="29" spans="2:59" ht="15" customHeight="1" x14ac:dyDescent="0.15">
      <c r="B29" s="454"/>
      <c r="C29" s="455"/>
      <c r="D29" s="456"/>
      <c r="E29" s="438"/>
      <c r="F29" s="439"/>
      <c r="G29" s="440"/>
      <c r="H29" s="441"/>
      <c r="I29" s="439"/>
      <c r="J29" s="442"/>
      <c r="K29" s="438"/>
      <c r="L29" s="439"/>
      <c r="M29" s="440"/>
      <c r="N29" s="441"/>
      <c r="O29" s="439"/>
      <c r="P29" s="442"/>
      <c r="Q29" s="467"/>
      <c r="R29" s="468"/>
      <c r="S29" s="468"/>
      <c r="T29" s="468"/>
      <c r="U29" s="468"/>
      <c r="V29" s="469"/>
      <c r="W29" s="422"/>
      <c r="X29" s="422"/>
      <c r="Y29" s="422"/>
      <c r="Z29" s="423"/>
      <c r="AA29" s="426"/>
      <c r="AB29" s="422"/>
      <c r="AC29" s="422"/>
      <c r="AD29" s="423"/>
      <c r="AE29" s="431"/>
      <c r="AF29" s="432"/>
      <c r="AG29" s="432"/>
      <c r="AH29" s="433"/>
      <c r="AI29" s="279"/>
      <c r="AJ29" s="279"/>
      <c r="AK29" s="426"/>
      <c r="AL29" s="422"/>
      <c r="AM29" s="422"/>
      <c r="AN29" s="434"/>
      <c r="BG29" s="262"/>
    </row>
    <row r="30" spans="2:59" ht="15" customHeight="1" x14ac:dyDescent="0.15">
      <c r="B30" s="454"/>
      <c r="C30" s="455"/>
      <c r="D30" s="456"/>
      <c r="E30" s="436">
        <f>T18</f>
        <v>4</v>
      </c>
      <c r="F30" s="417"/>
      <c r="G30" s="437"/>
      <c r="H30" s="416">
        <f>Q18</f>
        <v>3</v>
      </c>
      <c r="I30" s="417"/>
      <c r="J30" s="418"/>
      <c r="K30" s="436">
        <f>T24</f>
        <v>6</v>
      </c>
      <c r="L30" s="417"/>
      <c r="M30" s="437"/>
      <c r="N30" s="416">
        <f>Q24</f>
        <v>1</v>
      </c>
      <c r="O30" s="417"/>
      <c r="P30" s="418"/>
      <c r="Q30" s="467"/>
      <c r="R30" s="468"/>
      <c r="S30" s="468"/>
      <c r="T30" s="468"/>
      <c r="U30" s="468"/>
      <c r="V30" s="469"/>
      <c r="W30" s="422"/>
      <c r="X30" s="422"/>
      <c r="Y30" s="422"/>
      <c r="Z30" s="423"/>
      <c r="AA30" s="426"/>
      <c r="AB30" s="422"/>
      <c r="AC30" s="422"/>
      <c r="AD30" s="423"/>
      <c r="AE30" s="443">
        <f>IF(【結果】個人成績表!CE34=0,"",【結果】個人成績表!CE34)</f>
        <v>6085.7142857142862</v>
      </c>
      <c r="AF30" s="444"/>
      <c r="AG30" s="444"/>
      <c r="AH30" s="445"/>
      <c r="AI30" s="281"/>
      <c r="AJ30" s="281"/>
      <c r="AK30" s="426"/>
      <c r="AL30" s="422"/>
      <c r="AM30" s="422"/>
      <c r="AN30" s="434"/>
      <c r="BG30" s="262"/>
    </row>
    <row r="31" spans="2:59" ht="15" customHeight="1" x14ac:dyDescent="0.15">
      <c r="B31" s="454"/>
      <c r="C31" s="455"/>
      <c r="D31" s="456"/>
      <c r="E31" s="438"/>
      <c r="F31" s="439"/>
      <c r="G31" s="440"/>
      <c r="H31" s="441"/>
      <c r="I31" s="439"/>
      <c r="J31" s="442"/>
      <c r="K31" s="438"/>
      <c r="L31" s="439"/>
      <c r="M31" s="440"/>
      <c r="N31" s="441"/>
      <c r="O31" s="439"/>
      <c r="P31" s="442"/>
      <c r="Q31" s="467"/>
      <c r="R31" s="468"/>
      <c r="S31" s="468"/>
      <c r="T31" s="468"/>
      <c r="U31" s="468"/>
      <c r="V31" s="469"/>
      <c r="W31" s="422"/>
      <c r="X31" s="422"/>
      <c r="Y31" s="422"/>
      <c r="Z31" s="423"/>
      <c r="AA31" s="426"/>
      <c r="AB31" s="422"/>
      <c r="AC31" s="422"/>
      <c r="AD31" s="423"/>
      <c r="AE31" s="443"/>
      <c r="AF31" s="444"/>
      <c r="AG31" s="444"/>
      <c r="AH31" s="445"/>
      <c r="AI31" s="281"/>
      <c r="AJ31" s="281"/>
      <c r="AK31" s="426"/>
      <c r="AL31" s="422"/>
      <c r="AM31" s="422"/>
      <c r="AN31" s="434"/>
      <c r="BG31" s="262"/>
    </row>
    <row r="32" spans="2:59" ht="15" customHeight="1" x14ac:dyDescent="0.15">
      <c r="B32" s="454"/>
      <c r="C32" s="455"/>
      <c r="D32" s="456"/>
      <c r="E32" s="436">
        <f>T20</f>
        <v>3</v>
      </c>
      <c r="F32" s="417"/>
      <c r="G32" s="437"/>
      <c r="H32" s="416">
        <f>Q20</f>
        <v>4</v>
      </c>
      <c r="I32" s="417"/>
      <c r="J32" s="418"/>
      <c r="K32" s="436">
        <f>T26</f>
        <v>2</v>
      </c>
      <c r="L32" s="417"/>
      <c r="M32" s="437"/>
      <c r="N32" s="416">
        <f>Q26</f>
        <v>5</v>
      </c>
      <c r="O32" s="417"/>
      <c r="P32" s="418"/>
      <c r="Q32" s="467"/>
      <c r="R32" s="468"/>
      <c r="S32" s="468"/>
      <c r="T32" s="468"/>
      <c r="U32" s="468"/>
      <c r="V32" s="469"/>
      <c r="W32" s="422"/>
      <c r="X32" s="422"/>
      <c r="Y32" s="422"/>
      <c r="Z32" s="423"/>
      <c r="AA32" s="426"/>
      <c r="AB32" s="422"/>
      <c r="AC32" s="422"/>
      <c r="AD32" s="423"/>
      <c r="AE32" s="443"/>
      <c r="AF32" s="444"/>
      <c r="AG32" s="444"/>
      <c r="AH32" s="445"/>
      <c r="AI32" s="281"/>
      <c r="AJ32" s="281"/>
      <c r="AK32" s="426"/>
      <c r="AL32" s="422"/>
      <c r="AM32" s="422"/>
      <c r="AN32" s="434"/>
      <c r="BG32" s="262"/>
    </row>
    <row r="33" spans="2:59" ht="15" customHeight="1" thickBot="1" x14ac:dyDescent="0.2">
      <c r="B33" s="457"/>
      <c r="C33" s="458"/>
      <c r="D33" s="459"/>
      <c r="E33" s="449"/>
      <c r="F33" s="420"/>
      <c r="G33" s="450"/>
      <c r="H33" s="419"/>
      <c r="I33" s="420"/>
      <c r="J33" s="421"/>
      <c r="K33" s="449"/>
      <c r="L33" s="420"/>
      <c r="M33" s="450"/>
      <c r="N33" s="419"/>
      <c r="O33" s="420"/>
      <c r="P33" s="421"/>
      <c r="Q33" s="470"/>
      <c r="R33" s="471"/>
      <c r="S33" s="471"/>
      <c r="T33" s="471"/>
      <c r="U33" s="471"/>
      <c r="V33" s="472"/>
      <c r="W33" s="424"/>
      <c r="X33" s="424"/>
      <c r="Y33" s="424"/>
      <c r="Z33" s="425"/>
      <c r="AA33" s="427"/>
      <c r="AB33" s="424"/>
      <c r="AC33" s="424"/>
      <c r="AD33" s="425"/>
      <c r="AE33" s="446"/>
      <c r="AF33" s="447"/>
      <c r="AG33" s="447"/>
      <c r="AH33" s="448"/>
      <c r="AI33" s="282"/>
      <c r="AJ33" s="282"/>
      <c r="AK33" s="427"/>
      <c r="AL33" s="424"/>
      <c r="AM33" s="424"/>
      <c r="AN33" s="435"/>
      <c r="BG33" s="262"/>
    </row>
    <row r="34" spans="2:59" x14ac:dyDescent="0.15">
      <c r="D34" s="283" t="s">
        <v>88</v>
      </c>
      <c r="E34" s="98" t="s">
        <v>96</v>
      </c>
      <c r="BG34" s="262"/>
    </row>
    <row r="35" spans="2:59" x14ac:dyDescent="0.15">
      <c r="BG35" s="262"/>
    </row>
    <row r="36" spans="2:59" x14ac:dyDescent="0.15">
      <c r="BG36" s="262"/>
    </row>
    <row r="37" spans="2:59" x14ac:dyDescent="0.15">
      <c r="BG37" s="262"/>
    </row>
    <row r="38" spans="2:59" x14ac:dyDescent="0.15">
      <c r="BG38" s="262"/>
    </row>
    <row r="39" spans="2:59" x14ac:dyDescent="0.15">
      <c r="BG39" s="262"/>
    </row>
    <row r="40" spans="2:59" x14ac:dyDescent="0.15">
      <c r="BG40" s="262"/>
    </row>
    <row r="41" spans="2:59" x14ac:dyDescent="0.15">
      <c r="BG41" s="262"/>
    </row>
    <row r="42" spans="2:59" x14ac:dyDescent="0.15">
      <c r="BG42" s="262"/>
    </row>
  </sheetData>
  <mergeCells count="86">
    <mergeCell ref="B1:AN2"/>
    <mergeCell ref="AK4:AN4"/>
    <mergeCell ref="B6:E7"/>
    <mergeCell ref="F6:M7"/>
    <mergeCell ref="N6:W7"/>
    <mergeCell ref="X6:X7"/>
    <mergeCell ref="Y6:AB7"/>
    <mergeCell ref="AC6:AF7"/>
    <mergeCell ref="AG6:AN7"/>
    <mergeCell ref="AG8:AN9"/>
    <mergeCell ref="E12:J13"/>
    <mergeCell ref="K12:P13"/>
    <mergeCell ref="Q12:V13"/>
    <mergeCell ref="W12:Z15"/>
    <mergeCell ref="AA12:AD15"/>
    <mergeCell ref="AE12:AH15"/>
    <mergeCell ref="AK12:AN15"/>
    <mergeCell ref="E14:G15"/>
    <mergeCell ref="H14:J15"/>
    <mergeCell ref="B8:E9"/>
    <mergeCell ref="F8:M9"/>
    <mergeCell ref="N8:W9"/>
    <mergeCell ref="X8:X9"/>
    <mergeCell ref="Y8:AB9"/>
    <mergeCell ref="AC8:AF9"/>
    <mergeCell ref="K14:M15"/>
    <mergeCell ref="N14:P15"/>
    <mergeCell ref="Q14:S15"/>
    <mergeCell ref="T14:V15"/>
    <mergeCell ref="B16:D21"/>
    <mergeCell ref="E16:J21"/>
    <mergeCell ref="K16:M17"/>
    <mergeCell ref="N16:P17"/>
    <mergeCell ref="Q16:S17"/>
    <mergeCell ref="T16:V17"/>
    <mergeCell ref="W16:Z21"/>
    <mergeCell ref="AA16:AD21"/>
    <mergeCell ref="AE16:AH17"/>
    <mergeCell ref="AK16:AN21"/>
    <mergeCell ref="K18:M19"/>
    <mergeCell ref="N18:P19"/>
    <mergeCell ref="Q18:S19"/>
    <mergeCell ref="T18:V19"/>
    <mergeCell ref="AE18:AH21"/>
    <mergeCell ref="K20:M21"/>
    <mergeCell ref="N20:P21"/>
    <mergeCell ref="Q20:S21"/>
    <mergeCell ref="T20:V21"/>
    <mergeCell ref="B22:D27"/>
    <mergeCell ref="E22:G23"/>
    <mergeCell ref="H22:J23"/>
    <mergeCell ref="K22:P27"/>
    <mergeCell ref="Q22:S23"/>
    <mergeCell ref="T22:V23"/>
    <mergeCell ref="H26:J27"/>
    <mergeCell ref="W22:Z27"/>
    <mergeCell ref="AA22:AD27"/>
    <mergeCell ref="AE22:AH23"/>
    <mergeCell ref="AK22:AN27"/>
    <mergeCell ref="E24:G25"/>
    <mergeCell ref="H24:J25"/>
    <mergeCell ref="Q24:S25"/>
    <mergeCell ref="T24:V25"/>
    <mergeCell ref="AE24:AH27"/>
    <mergeCell ref="E26:G27"/>
    <mergeCell ref="Q26:S27"/>
    <mergeCell ref="T26:V27"/>
    <mergeCell ref="B28:D33"/>
    <mergeCell ref="E28:G29"/>
    <mergeCell ref="H28:J29"/>
    <mergeCell ref="K28:M29"/>
    <mergeCell ref="N28:P29"/>
    <mergeCell ref="Q28:V33"/>
    <mergeCell ref="H32:J33"/>
    <mergeCell ref="K32:M33"/>
    <mergeCell ref="E30:G31"/>
    <mergeCell ref="H30:J31"/>
    <mergeCell ref="K30:M31"/>
    <mergeCell ref="N30:P31"/>
    <mergeCell ref="AE30:AH33"/>
    <mergeCell ref="E32:G33"/>
    <mergeCell ref="N32:P33"/>
    <mergeCell ref="W28:Z33"/>
    <mergeCell ref="AA28:AD33"/>
    <mergeCell ref="AE28:AH29"/>
    <mergeCell ref="AK28:AN33"/>
  </mergeCells>
  <phoneticPr fontId="2"/>
  <printOptions horizontalCentered="1" verticalCentered="1"/>
  <pageMargins left="0.39305555555555555" right="0.39305555555555555" top="0.98402777777777772" bottom="0.39305555555555555" header="0.51111111111111107" footer="0.51111111111111107"/>
  <pageSetup paperSize="9" firstPageNumber="4294963191" orientation="landscape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【準備】登録</vt:lpstr>
      <vt:lpstr>【準備】対戦カード</vt:lpstr>
      <vt:lpstr>【進行】結果入力表</vt:lpstr>
      <vt:lpstr>【結果】個人成績表</vt:lpstr>
      <vt:lpstr>【結果】リーグ成績表</vt:lpstr>
      <vt:lpstr>【結果】総合結果表</vt:lpstr>
      <vt:lpstr>【結果】リーグ成績表!Print_Area</vt:lpstr>
      <vt:lpstr>【結果】個人成績表!Print_Area</vt:lpstr>
      <vt:lpstr>【準備】対戦カード!Print_Area</vt:lpstr>
      <vt:lpstr>【準備】登録!Print_Area</vt:lpstr>
      <vt:lpstr>【進行】結果入力表!Print_Area</vt:lpstr>
      <vt:lpstr>点数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wakayama</dc:creator>
  <cp:lastModifiedBy>rc wakayama</cp:lastModifiedBy>
  <cp:lastPrinted>2019-06-17T21:40:08Z</cp:lastPrinted>
  <dcterms:created xsi:type="dcterms:W3CDTF">2019-06-17T05:20:38Z</dcterms:created>
  <dcterms:modified xsi:type="dcterms:W3CDTF">2019-06-19T06:45:17Z</dcterms:modified>
</cp:coreProperties>
</file>