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4016" windowHeight="11520" activeTab="5"/>
  </bookViews>
  <sheets>
    <sheet name="【準備】登録" sheetId="4" r:id="rId1"/>
    <sheet name="【準備】対戦カード" sheetId="7" r:id="rId2"/>
    <sheet name="【結果】個人成績表" sheetId="1" r:id="rId3"/>
    <sheet name="【進行】結果入力表" sheetId="5" r:id="rId4"/>
    <sheet name="【結果】リーグ成績表" sheetId="2" r:id="rId5"/>
    <sheet name="【結果】総合結果表" sheetId="3" r:id="rId6"/>
  </sheets>
  <definedNames>
    <definedName name="_xlnm._FilterDatabase" localSheetId="3" hidden="1">【進行】結果入力表!$A$6:$J$78</definedName>
    <definedName name="_xlnm.Print_Area" localSheetId="4">【結果】リーグ成績表!$D$1:$BN$43</definedName>
    <definedName name="_xlnm.Print_Area" localSheetId="2">【結果】個人成績表!$A$1:$BR$35</definedName>
    <definedName name="_xlnm.Print_Area" localSheetId="1">【準備】対戦カード!$A$11:$BK$100</definedName>
    <definedName name="_xlnm.Print_Area" localSheetId="0">【準備】登録!$A$1:$AA$19</definedName>
    <definedName name="_xlnm.Print_Area" localSheetId="3">【進行】結果入力表!$B$5:$M$79</definedName>
    <definedName name="点数">【準備】登録!$I$15:$I$16</definedName>
  </definedNames>
  <calcPr calcId="125725" concurrentCalc="0"/>
  <fileRecoveryPr repairLoad="1"/>
</workbook>
</file>

<file path=xl/calcChain.xml><?xml version="1.0" encoding="utf-8"?>
<calcChain xmlns="http://schemas.openxmlformats.org/spreadsheetml/2006/main">
  <c r="X6" i="1"/>
  <c r="N6"/>
  <c r="F6"/>
  <c r="I6"/>
  <c r="Q6"/>
  <c r="S6"/>
  <c r="AA6"/>
  <c r="AC6"/>
  <c r="X7"/>
  <c r="N7"/>
  <c r="F7"/>
  <c r="I7"/>
  <c r="Q7"/>
  <c r="S7"/>
  <c r="AA7"/>
  <c r="AC7"/>
  <c r="X8"/>
  <c r="N8"/>
  <c r="F8"/>
  <c r="I8"/>
  <c r="Q8"/>
  <c r="S8"/>
  <c r="AA8"/>
  <c r="AC8"/>
  <c r="X9"/>
  <c r="N9"/>
  <c r="F9"/>
  <c r="I9"/>
  <c r="Q9"/>
  <c r="S9"/>
  <c r="AA9"/>
  <c r="AC9"/>
  <c r="X10"/>
  <c r="N10"/>
  <c r="F10"/>
  <c r="I10"/>
  <c r="Q10"/>
  <c r="S10"/>
  <c r="AA10"/>
  <c r="AC10"/>
  <c r="X11"/>
  <c r="N11"/>
  <c r="F11"/>
  <c r="I11"/>
  <c r="Q11"/>
  <c r="S11"/>
  <c r="AA11"/>
  <c r="AC11"/>
  <c r="X12"/>
  <c r="AC12"/>
  <c r="X13"/>
  <c r="AC13"/>
  <c r="N12"/>
  <c r="S12"/>
  <c r="N13"/>
  <c r="S13"/>
  <c r="F12"/>
  <c r="I12"/>
  <c r="F13"/>
  <c r="I13"/>
  <c r="I14"/>
  <c r="Q12"/>
  <c r="Q13"/>
  <c r="Q14"/>
  <c r="S14"/>
  <c r="AA12"/>
  <c r="AA13"/>
  <c r="AA14"/>
  <c r="AC14"/>
  <c r="AH6"/>
  <c r="AK6"/>
  <c r="AM6"/>
  <c r="AH7"/>
  <c r="AK7"/>
  <c r="AM7"/>
  <c r="AH8"/>
  <c r="AK8"/>
  <c r="AM8"/>
  <c r="AH9"/>
  <c r="AK9"/>
  <c r="AM9"/>
  <c r="AH10"/>
  <c r="AK10"/>
  <c r="AM10"/>
  <c r="AH11"/>
  <c r="AK11"/>
  <c r="AM11"/>
  <c r="AH12"/>
  <c r="AM12"/>
  <c r="AH13"/>
  <c r="AM13"/>
  <c r="AK12"/>
  <c r="AK13"/>
  <c r="AK14"/>
  <c r="AM14"/>
  <c r="T18" i="3"/>
  <c r="H6" i="1"/>
  <c r="P6"/>
  <c r="R6"/>
  <c r="Z6"/>
  <c r="AB6"/>
  <c r="AJ6"/>
  <c r="AL6"/>
  <c r="H7"/>
  <c r="P7"/>
  <c r="R7"/>
  <c r="Z7"/>
  <c r="AB7"/>
  <c r="AJ7"/>
  <c r="AL7"/>
  <c r="H8"/>
  <c r="P8"/>
  <c r="R8"/>
  <c r="Z8"/>
  <c r="AB8"/>
  <c r="AJ8"/>
  <c r="AL8"/>
  <c r="H9"/>
  <c r="P9"/>
  <c r="R9"/>
  <c r="Z9"/>
  <c r="AB9"/>
  <c r="AJ9"/>
  <c r="AL9"/>
  <c r="H10"/>
  <c r="P10"/>
  <c r="R10"/>
  <c r="Z10"/>
  <c r="AB10"/>
  <c r="AJ10"/>
  <c r="AL10"/>
  <c r="H11"/>
  <c r="P11"/>
  <c r="R11"/>
  <c r="Z11"/>
  <c r="AB11"/>
  <c r="AJ11"/>
  <c r="AL11"/>
  <c r="AL12"/>
  <c r="AL13"/>
  <c r="AB12"/>
  <c r="AB13"/>
  <c r="R12"/>
  <c r="R13"/>
  <c r="H12"/>
  <c r="H13"/>
  <c r="H14"/>
  <c r="P12"/>
  <c r="P13"/>
  <c r="P14"/>
  <c r="R14"/>
  <c r="Z12"/>
  <c r="Z13"/>
  <c r="Z14"/>
  <c r="AB14"/>
  <c r="AJ12"/>
  <c r="AJ13"/>
  <c r="AJ14"/>
  <c r="AL14"/>
  <c r="Q18" i="3"/>
  <c r="N18"/>
  <c r="K18"/>
  <c r="R123" i="5"/>
  <c r="BB6" i="1"/>
  <c r="AR6"/>
  <c r="AW6"/>
  <c r="BG6"/>
  <c r="R124" i="5"/>
  <c r="BB7" i="1"/>
  <c r="AR7"/>
  <c r="AW7"/>
  <c r="BG7"/>
  <c r="R125" i="5"/>
  <c r="BB8" i="1"/>
  <c r="AR8"/>
  <c r="AW8"/>
  <c r="BG8"/>
  <c r="R126" i="5"/>
  <c r="BB9" i="1"/>
  <c r="AR9"/>
  <c r="AW9"/>
  <c r="BG9"/>
  <c r="R121" i="5"/>
  <c r="BB10" i="1"/>
  <c r="AR10"/>
  <c r="AW10"/>
  <c r="BG10"/>
  <c r="R122" i="5"/>
  <c r="BB11" i="1"/>
  <c r="AR11"/>
  <c r="AW11"/>
  <c r="BG11"/>
  <c r="BB12"/>
  <c r="BG12"/>
  <c r="BB13"/>
  <c r="BG13"/>
  <c r="R120" i="5"/>
  <c r="AR12" i="1"/>
  <c r="AW12"/>
  <c r="AR13"/>
  <c r="AW13"/>
  <c r="AU6"/>
  <c r="AU7"/>
  <c r="AU8"/>
  <c r="AU9"/>
  <c r="AU10"/>
  <c r="AU11"/>
  <c r="AU12"/>
  <c r="AU13"/>
  <c r="AU14"/>
  <c r="AW14"/>
  <c r="BE6"/>
  <c r="BE7"/>
  <c r="BE8"/>
  <c r="BE9"/>
  <c r="BE10"/>
  <c r="BE11"/>
  <c r="BE12"/>
  <c r="BE13"/>
  <c r="BE14"/>
  <c r="BG14"/>
  <c r="T20" i="3"/>
  <c r="AV6" i="1"/>
  <c r="BF6"/>
  <c r="AV7"/>
  <c r="BF7"/>
  <c r="AV8"/>
  <c r="BF8"/>
  <c r="AV9"/>
  <c r="BF9"/>
  <c r="AV10"/>
  <c r="BF10"/>
  <c r="AV11"/>
  <c r="BF11"/>
  <c r="BF12"/>
  <c r="BF13"/>
  <c r="AV12"/>
  <c r="AV13"/>
  <c r="AT6"/>
  <c r="AT7"/>
  <c r="AT8"/>
  <c r="AT9"/>
  <c r="AT10"/>
  <c r="AT11"/>
  <c r="AT12"/>
  <c r="AT13"/>
  <c r="AT14"/>
  <c r="AV14"/>
  <c r="BD6"/>
  <c r="BD7"/>
  <c r="BD8"/>
  <c r="BD9"/>
  <c r="BD10"/>
  <c r="BD11"/>
  <c r="BD12"/>
  <c r="BD13"/>
  <c r="BD14"/>
  <c r="BF14"/>
  <c r="Q20" i="3"/>
  <c r="R118" i="5"/>
  <c r="R115"/>
  <c r="R116"/>
  <c r="N20" i="3"/>
  <c r="K20"/>
  <c r="AH16" i="1"/>
  <c r="X16"/>
  <c r="N16"/>
  <c r="F16"/>
  <c r="I16"/>
  <c r="Q16"/>
  <c r="S16"/>
  <c r="AA16"/>
  <c r="AC16"/>
  <c r="AK16"/>
  <c r="AM16"/>
  <c r="AH17"/>
  <c r="X17"/>
  <c r="N17"/>
  <c r="F17"/>
  <c r="I17"/>
  <c r="Q17"/>
  <c r="S17"/>
  <c r="AA17"/>
  <c r="AC17"/>
  <c r="AK17"/>
  <c r="AM17"/>
  <c r="AH18"/>
  <c r="X18"/>
  <c r="N18"/>
  <c r="F18"/>
  <c r="I18"/>
  <c r="Q18"/>
  <c r="S18"/>
  <c r="AA18"/>
  <c r="AC18"/>
  <c r="AK18"/>
  <c r="AM18"/>
  <c r="AH19"/>
  <c r="X19"/>
  <c r="N19"/>
  <c r="F19"/>
  <c r="I19"/>
  <c r="Q19"/>
  <c r="S19"/>
  <c r="AA19"/>
  <c r="AC19"/>
  <c r="AK19"/>
  <c r="AM19"/>
  <c r="AH20"/>
  <c r="X20"/>
  <c r="N20"/>
  <c r="F20"/>
  <c r="I20"/>
  <c r="Q20"/>
  <c r="S20"/>
  <c r="AA20"/>
  <c r="AC20"/>
  <c r="AK20"/>
  <c r="AM20"/>
  <c r="AH21"/>
  <c r="X21"/>
  <c r="N21"/>
  <c r="F21"/>
  <c r="I21"/>
  <c r="Q21"/>
  <c r="S21"/>
  <c r="AA21"/>
  <c r="AC21"/>
  <c r="AK21"/>
  <c r="AM21"/>
  <c r="AH22"/>
  <c r="AM22"/>
  <c r="AH23"/>
  <c r="AM23"/>
  <c r="X22"/>
  <c r="AC22"/>
  <c r="X23"/>
  <c r="AC23"/>
  <c r="N22"/>
  <c r="S22"/>
  <c r="N23"/>
  <c r="S23"/>
  <c r="F22"/>
  <c r="I22"/>
  <c r="F23"/>
  <c r="I23"/>
  <c r="I24"/>
  <c r="Q22"/>
  <c r="Q23"/>
  <c r="Q24"/>
  <c r="S24"/>
  <c r="AA22"/>
  <c r="AA23"/>
  <c r="AA24"/>
  <c r="AC24"/>
  <c r="AK22"/>
  <c r="AK23"/>
  <c r="AK24"/>
  <c r="AM24"/>
  <c r="T24" i="3"/>
  <c r="J44" i="5"/>
  <c r="L56"/>
  <c r="I44"/>
  <c r="M56"/>
  <c r="J45"/>
  <c r="L57"/>
  <c r="I45"/>
  <c r="M57"/>
  <c r="J46"/>
  <c r="L58"/>
  <c r="I46"/>
  <c r="M58"/>
  <c r="J47"/>
  <c r="L59"/>
  <c r="I47"/>
  <c r="M59"/>
  <c r="J48"/>
  <c r="L60"/>
  <c r="I48"/>
  <c r="M60"/>
  <c r="I43"/>
  <c r="M55"/>
  <c r="J43"/>
  <c r="L55"/>
  <c r="C44"/>
  <c r="L50"/>
  <c r="D44"/>
  <c r="M50"/>
  <c r="C45"/>
  <c r="L51"/>
  <c r="D45"/>
  <c r="M51"/>
  <c r="C46"/>
  <c r="L52"/>
  <c r="D46"/>
  <c r="M52"/>
  <c r="C47"/>
  <c r="L53"/>
  <c r="D47"/>
  <c r="M53"/>
  <c r="C48"/>
  <c r="L54"/>
  <c r="D48"/>
  <c r="M54"/>
  <c r="D43"/>
  <c r="M49"/>
  <c r="C43"/>
  <c r="L49"/>
  <c r="C50"/>
  <c r="L44"/>
  <c r="D50"/>
  <c r="M44"/>
  <c r="C51"/>
  <c r="L45"/>
  <c r="D51"/>
  <c r="M45"/>
  <c r="C52"/>
  <c r="L46"/>
  <c r="D52"/>
  <c r="M46"/>
  <c r="C53"/>
  <c r="L47"/>
  <c r="D53"/>
  <c r="M47"/>
  <c r="C54"/>
  <c r="L48"/>
  <c r="D54"/>
  <c r="M48"/>
  <c r="D49"/>
  <c r="M43"/>
  <c r="C49"/>
  <c r="L43"/>
  <c r="J26"/>
  <c r="L38"/>
  <c r="I26"/>
  <c r="M38"/>
  <c r="J27"/>
  <c r="L39"/>
  <c r="I27"/>
  <c r="M39"/>
  <c r="J28"/>
  <c r="L40"/>
  <c r="I28"/>
  <c r="M40"/>
  <c r="J29"/>
  <c r="L41"/>
  <c r="I29"/>
  <c r="M41"/>
  <c r="J30"/>
  <c r="L42"/>
  <c r="I30"/>
  <c r="M42"/>
  <c r="I25"/>
  <c r="M37"/>
  <c r="J25"/>
  <c r="L37"/>
  <c r="C26"/>
  <c r="L32"/>
  <c r="D26"/>
  <c r="M32"/>
  <c r="C27"/>
  <c r="L33"/>
  <c r="D27"/>
  <c r="M33"/>
  <c r="C28"/>
  <c r="L34"/>
  <c r="D28"/>
  <c r="M34"/>
  <c r="C29"/>
  <c r="L35"/>
  <c r="D29"/>
  <c r="M35"/>
  <c r="C30"/>
  <c r="L36"/>
  <c r="D30"/>
  <c r="M36"/>
  <c r="D25"/>
  <c r="M31"/>
  <c r="C25"/>
  <c r="L31"/>
  <c r="C32"/>
  <c r="L26"/>
  <c r="D32"/>
  <c r="M26"/>
  <c r="C33"/>
  <c r="L27"/>
  <c r="D33"/>
  <c r="M27"/>
  <c r="C34"/>
  <c r="L28"/>
  <c r="D34"/>
  <c r="M28"/>
  <c r="C35"/>
  <c r="L29"/>
  <c r="D35"/>
  <c r="M29"/>
  <c r="C36"/>
  <c r="L30"/>
  <c r="D36"/>
  <c r="M30"/>
  <c r="D31"/>
  <c r="M25"/>
  <c r="C31"/>
  <c r="L25"/>
  <c r="J8"/>
  <c r="L20"/>
  <c r="I8"/>
  <c r="M20"/>
  <c r="J9"/>
  <c r="L21"/>
  <c r="I9"/>
  <c r="M21"/>
  <c r="J10"/>
  <c r="L22"/>
  <c r="I10"/>
  <c r="M22"/>
  <c r="J11"/>
  <c r="L23"/>
  <c r="I11"/>
  <c r="M23"/>
  <c r="J12"/>
  <c r="L24"/>
  <c r="I12"/>
  <c r="M24"/>
  <c r="I7"/>
  <c r="M19"/>
  <c r="J7"/>
  <c r="L19"/>
  <c r="C8"/>
  <c r="L14"/>
  <c r="D8"/>
  <c r="M14"/>
  <c r="C9"/>
  <c r="L15"/>
  <c r="D9"/>
  <c r="M15"/>
  <c r="C10"/>
  <c r="L16"/>
  <c r="D10"/>
  <c r="M16"/>
  <c r="C11"/>
  <c r="L17"/>
  <c r="D11"/>
  <c r="M17"/>
  <c r="C12"/>
  <c r="L18"/>
  <c r="D12"/>
  <c r="M18"/>
  <c r="C7"/>
  <c r="L13"/>
  <c r="D7"/>
  <c r="M13"/>
  <c r="C14"/>
  <c r="L8"/>
  <c r="D14"/>
  <c r="M8"/>
  <c r="C15"/>
  <c r="L9"/>
  <c r="D15"/>
  <c r="M9"/>
  <c r="C16"/>
  <c r="L10"/>
  <c r="D16"/>
  <c r="M10"/>
  <c r="C17"/>
  <c r="L11"/>
  <c r="D17"/>
  <c r="M11"/>
  <c r="C18"/>
  <c r="L12"/>
  <c r="D18"/>
  <c r="M12"/>
  <c r="C13"/>
  <c r="L7"/>
  <c r="D13"/>
  <c r="M7"/>
  <c r="D60"/>
  <c r="E32" i="1"/>
  <c r="E31"/>
  <c r="E22"/>
  <c r="E21"/>
  <c r="E11"/>
  <c r="A25"/>
  <c r="N5"/>
  <c r="A15"/>
  <c r="F5"/>
  <c r="E12"/>
  <c r="R80" i="5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7"/>
  <c r="R119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79"/>
  <c r="R8"/>
  <c r="S8"/>
  <c r="T8"/>
  <c r="R9"/>
  <c r="S9"/>
  <c r="T9"/>
  <c r="R10"/>
  <c r="S10"/>
  <c r="T10"/>
  <c r="R11"/>
  <c r="S11"/>
  <c r="T11"/>
  <c r="R12"/>
  <c r="S12"/>
  <c r="T12"/>
  <c r="R13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75"/>
  <c r="S75"/>
  <c r="T75"/>
  <c r="R76"/>
  <c r="S76"/>
  <c r="T76"/>
  <c r="R77"/>
  <c r="S77"/>
  <c r="T77"/>
  <c r="R78"/>
  <c r="S78"/>
  <c r="T78"/>
  <c r="S80"/>
  <c r="T80"/>
  <c r="S81"/>
  <c r="T81"/>
  <c r="S82"/>
  <c r="T82"/>
  <c r="S83"/>
  <c r="T83"/>
  <c r="S84"/>
  <c r="T84"/>
  <c r="S85"/>
  <c r="T85"/>
  <c r="S86"/>
  <c r="T86"/>
  <c r="S87"/>
  <c r="T87"/>
  <c r="S88"/>
  <c r="T88"/>
  <c r="S89"/>
  <c r="T89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0"/>
  <c r="T100"/>
  <c r="S101"/>
  <c r="T101"/>
  <c r="S102"/>
  <c r="T102"/>
  <c r="S103"/>
  <c r="T103"/>
  <c r="S104"/>
  <c r="T104"/>
  <c r="S105"/>
  <c r="T105"/>
  <c r="S106"/>
  <c r="T106"/>
  <c r="S107"/>
  <c r="T107"/>
  <c r="S108"/>
  <c r="T108"/>
  <c r="S109"/>
  <c r="T109"/>
  <c r="S110"/>
  <c r="T110"/>
  <c r="S111"/>
  <c r="T111"/>
  <c r="S112"/>
  <c r="T112"/>
  <c r="S113"/>
  <c r="T113"/>
  <c r="S114"/>
  <c r="T114"/>
  <c r="S115"/>
  <c r="T115"/>
  <c r="S116"/>
  <c r="T116"/>
  <c r="S117"/>
  <c r="T117"/>
  <c r="S118"/>
  <c r="T118"/>
  <c r="S119"/>
  <c r="T119"/>
  <c r="S120"/>
  <c r="T120"/>
  <c r="S121"/>
  <c r="T121"/>
  <c r="S122"/>
  <c r="T122"/>
  <c r="S123"/>
  <c r="T123"/>
  <c r="S124"/>
  <c r="T124"/>
  <c r="S125"/>
  <c r="T125"/>
  <c r="S126"/>
  <c r="T126"/>
  <c r="S127"/>
  <c r="T127"/>
  <c r="S128"/>
  <c r="T128"/>
  <c r="S129"/>
  <c r="T129"/>
  <c r="S130"/>
  <c r="T130"/>
  <c r="S131"/>
  <c r="T131"/>
  <c r="S132"/>
  <c r="T132"/>
  <c r="S133"/>
  <c r="T133"/>
  <c r="S134"/>
  <c r="T134"/>
  <c r="S135"/>
  <c r="T135"/>
  <c r="S136"/>
  <c r="T136"/>
  <c r="S137"/>
  <c r="T137"/>
  <c r="S138"/>
  <c r="T138"/>
  <c r="S139"/>
  <c r="T139"/>
  <c r="S140"/>
  <c r="T140"/>
  <c r="S141"/>
  <c r="T141"/>
  <c r="S142"/>
  <c r="T142"/>
  <c r="S143"/>
  <c r="T143"/>
  <c r="S144"/>
  <c r="T144"/>
  <c r="S145"/>
  <c r="T145"/>
  <c r="S146"/>
  <c r="T146"/>
  <c r="S147"/>
  <c r="T147"/>
  <c r="S148"/>
  <c r="T148"/>
  <c r="S149"/>
  <c r="T149"/>
  <c r="S150"/>
  <c r="T150"/>
  <c r="T79"/>
  <c r="R7"/>
  <c r="S79"/>
  <c r="T7"/>
  <c r="S7"/>
  <c r="B8"/>
  <c r="P8"/>
  <c r="P80"/>
  <c r="B9"/>
  <c r="P9"/>
  <c r="P81"/>
  <c r="B10"/>
  <c r="P10"/>
  <c r="P82"/>
  <c r="B11"/>
  <c r="P11"/>
  <c r="P83"/>
  <c r="B12"/>
  <c r="P12"/>
  <c r="P84"/>
  <c r="B13"/>
  <c r="P13"/>
  <c r="P85"/>
  <c r="B14"/>
  <c r="P14"/>
  <c r="P86"/>
  <c r="B15"/>
  <c r="P15"/>
  <c r="P87"/>
  <c r="B16"/>
  <c r="P16"/>
  <c r="P88"/>
  <c r="B17"/>
  <c r="P17"/>
  <c r="P89"/>
  <c r="B18"/>
  <c r="P18"/>
  <c r="P90"/>
  <c r="B19"/>
  <c r="P19"/>
  <c r="P91"/>
  <c r="B20"/>
  <c r="P20"/>
  <c r="P92"/>
  <c r="B21"/>
  <c r="P21"/>
  <c r="P93"/>
  <c r="B22"/>
  <c r="P22"/>
  <c r="P94"/>
  <c r="B23"/>
  <c r="P23"/>
  <c r="P95"/>
  <c r="B24"/>
  <c r="P24"/>
  <c r="P96"/>
  <c r="B25"/>
  <c r="P25"/>
  <c r="P97"/>
  <c r="B26"/>
  <c r="P26"/>
  <c r="P98"/>
  <c r="B27"/>
  <c r="P27"/>
  <c r="P99"/>
  <c r="B28"/>
  <c r="P28"/>
  <c r="P100"/>
  <c r="B29"/>
  <c r="P29"/>
  <c r="P101"/>
  <c r="B30"/>
  <c r="P30"/>
  <c r="P102"/>
  <c r="B31"/>
  <c r="P31"/>
  <c r="P103"/>
  <c r="B32"/>
  <c r="P32"/>
  <c r="P104"/>
  <c r="B33"/>
  <c r="P33"/>
  <c r="P105"/>
  <c r="B34"/>
  <c r="P34"/>
  <c r="P106"/>
  <c r="B35"/>
  <c r="P35"/>
  <c r="P107"/>
  <c r="B36"/>
  <c r="P36"/>
  <c r="P108"/>
  <c r="B37"/>
  <c r="P37"/>
  <c r="P109"/>
  <c r="B38"/>
  <c r="P38"/>
  <c r="P110"/>
  <c r="B39"/>
  <c r="P39"/>
  <c r="P111"/>
  <c r="B40"/>
  <c r="P40"/>
  <c r="P112"/>
  <c r="B41"/>
  <c r="P41"/>
  <c r="P113"/>
  <c r="B42"/>
  <c r="P42"/>
  <c r="P114"/>
  <c r="B43"/>
  <c r="P43"/>
  <c r="P115"/>
  <c r="B44"/>
  <c r="P44"/>
  <c r="P116"/>
  <c r="B45"/>
  <c r="P45"/>
  <c r="P117"/>
  <c r="B46"/>
  <c r="P46"/>
  <c r="P118"/>
  <c r="B47"/>
  <c r="P47"/>
  <c r="P119"/>
  <c r="B48"/>
  <c r="P48"/>
  <c r="P120"/>
  <c r="B49"/>
  <c r="P49"/>
  <c r="P121"/>
  <c r="B50"/>
  <c r="P50"/>
  <c r="P122"/>
  <c r="B51"/>
  <c r="P51"/>
  <c r="P123"/>
  <c r="B52"/>
  <c r="P52"/>
  <c r="P124"/>
  <c r="B53"/>
  <c r="P53"/>
  <c r="P125"/>
  <c r="B54"/>
  <c r="P54"/>
  <c r="P126"/>
  <c r="B55"/>
  <c r="P55"/>
  <c r="P127"/>
  <c r="B56"/>
  <c r="P56"/>
  <c r="P128"/>
  <c r="B57"/>
  <c r="P57"/>
  <c r="P129"/>
  <c r="B58"/>
  <c r="P58"/>
  <c r="P130"/>
  <c r="B59"/>
  <c r="P59"/>
  <c r="P131"/>
  <c r="B60"/>
  <c r="P60"/>
  <c r="P132"/>
  <c r="B61"/>
  <c r="P61"/>
  <c r="P133"/>
  <c r="B62"/>
  <c r="P62"/>
  <c r="P134"/>
  <c r="B63"/>
  <c r="P63"/>
  <c r="P135"/>
  <c r="B64"/>
  <c r="P64"/>
  <c r="P136"/>
  <c r="B65"/>
  <c r="P65"/>
  <c r="P137"/>
  <c r="B66"/>
  <c r="P66"/>
  <c r="P138"/>
  <c r="B67"/>
  <c r="P67"/>
  <c r="P139"/>
  <c r="B68"/>
  <c r="P68"/>
  <c r="P140"/>
  <c r="B69"/>
  <c r="P69"/>
  <c r="P141"/>
  <c r="B70"/>
  <c r="P70"/>
  <c r="P142"/>
  <c r="B71"/>
  <c r="P71"/>
  <c r="P143"/>
  <c r="B72"/>
  <c r="P72"/>
  <c r="P144"/>
  <c r="B73"/>
  <c r="P73"/>
  <c r="P145"/>
  <c r="B74"/>
  <c r="P74"/>
  <c r="P146"/>
  <c r="B75"/>
  <c r="P75"/>
  <c r="P147"/>
  <c r="B76"/>
  <c r="P76"/>
  <c r="P148"/>
  <c r="B77"/>
  <c r="P77"/>
  <c r="P149"/>
  <c r="B78"/>
  <c r="P78"/>
  <c r="P150"/>
  <c r="B7"/>
  <c r="P7"/>
  <c r="P79"/>
  <c r="AV7" i="2"/>
  <c r="AV6"/>
  <c r="AV5"/>
  <c r="Z7"/>
  <c r="Z6"/>
  <c r="Z5"/>
  <c r="U93" i="7"/>
  <c r="U83"/>
  <c r="U73"/>
  <c r="U63"/>
  <c r="U53"/>
  <c r="U33"/>
  <c r="U23"/>
  <c r="AL5" i="4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K20"/>
  <c r="AK19"/>
  <c r="AB36" i="2"/>
  <c r="AK18" i="4"/>
  <c r="AK17"/>
  <c r="AX16" i="2"/>
  <c r="AK16" i="4"/>
  <c r="B19" i="1"/>
  <c r="BY19"/>
  <c r="AK15" i="4"/>
  <c r="B18" i="1"/>
  <c r="BY18"/>
  <c r="AK14" i="4"/>
  <c r="AB6" i="2"/>
  <c r="AK13" i="4"/>
  <c r="B16" i="1"/>
  <c r="AK12" i="4"/>
  <c r="AK11"/>
  <c r="AB37" i="2"/>
  <c r="AK10" i="4"/>
  <c r="AX32" i="2"/>
  <c r="AK9" i="4"/>
  <c r="AX27" i="2"/>
  <c r="AK8" i="4"/>
  <c r="AX22" i="2"/>
  <c r="AK7" i="4"/>
  <c r="F17" i="2"/>
  <c r="AK5" i="4"/>
  <c r="AK6"/>
  <c r="H17" i="2"/>
  <c r="AX12"/>
  <c r="AX7"/>
  <c r="AZ7"/>
  <c r="AK28" i="4"/>
  <c r="AK27"/>
  <c r="AB35" i="2"/>
  <c r="AK26" i="4"/>
  <c r="AK25"/>
  <c r="AX5" i="2"/>
  <c r="AK24" i="4"/>
  <c r="B9" i="1"/>
  <c r="BY9"/>
  <c r="AK23" i="4"/>
  <c r="AB5" i="2"/>
  <c r="AK22" i="4"/>
  <c r="AK21"/>
  <c r="AJ22"/>
  <c r="AJ23"/>
  <c r="AJ24"/>
  <c r="AJ25"/>
  <c r="AJ26"/>
  <c r="AJ27"/>
  <c r="AJ28"/>
  <c r="AJ21"/>
  <c r="AJ14"/>
  <c r="AJ15"/>
  <c r="AJ16"/>
  <c r="AJ17"/>
  <c r="AJ18"/>
  <c r="AJ19"/>
  <c r="AJ20"/>
  <c r="AJ13"/>
  <c r="AJ6"/>
  <c r="AJ7"/>
  <c r="AJ8"/>
  <c r="AJ9"/>
  <c r="AJ10"/>
  <c r="AJ11"/>
  <c r="AJ12"/>
  <c r="AJ5"/>
  <c r="AI46"/>
  <c r="AI45"/>
  <c r="AI44"/>
  <c r="D5" i="2"/>
  <c r="D25"/>
  <c r="D30"/>
  <c r="BQ114" i="4"/>
  <c r="BQ115"/>
  <c r="BQ116"/>
  <c r="BQ117"/>
  <c r="BQ118"/>
  <c r="BQ119"/>
  <c r="BQ120"/>
  <c r="BQ121"/>
  <c r="BQ122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108"/>
  <c r="BQ109"/>
  <c r="BQ110"/>
  <c r="BQ111"/>
  <c r="BQ112"/>
  <c r="BQ113"/>
  <c r="BK105"/>
  <c r="BK106"/>
  <c r="BK107"/>
  <c r="BK108"/>
  <c r="BK109"/>
  <c r="BK110"/>
  <c r="BK111"/>
  <c r="BK112"/>
  <c r="BK113"/>
  <c r="BQ53"/>
  <c r="BQ52"/>
  <c r="BQ51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2"/>
  <c r="BK103"/>
  <c r="BK104"/>
  <c r="BK56"/>
  <c r="BK57"/>
  <c r="BK55"/>
  <c r="BK54"/>
  <c r="BK53"/>
  <c r="BK52"/>
  <c r="BK51"/>
  <c r="BE96"/>
  <c r="BE97"/>
  <c r="BE98"/>
  <c r="BE99"/>
  <c r="BE100"/>
  <c r="BE101"/>
  <c r="BE102"/>
  <c r="BE103"/>
  <c r="BE104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51"/>
  <c r="AY81"/>
  <c r="AY82"/>
  <c r="AY83"/>
  <c r="AY84"/>
  <c r="AY85"/>
  <c r="AY86"/>
  <c r="AY87"/>
  <c r="AY88"/>
  <c r="AY89"/>
  <c r="AY90"/>
  <c r="AY91"/>
  <c r="AY92"/>
  <c r="AY93"/>
  <c r="AY94"/>
  <c r="AY95"/>
  <c r="AY66"/>
  <c r="AY67"/>
  <c r="AY68"/>
  <c r="AY69"/>
  <c r="AY70"/>
  <c r="AY71"/>
  <c r="AY72"/>
  <c r="AY73"/>
  <c r="AY74"/>
  <c r="AY75"/>
  <c r="AY76"/>
  <c r="AY77"/>
  <c r="AY78"/>
  <c r="AY79"/>
  <c r="AY80"/>
  <c r="AY65"/>
  <c r="AY64"/>
  <c r="AY63"/>
  <c r="AY62"/>
  <c r="AY61"/>
  <c r="AY60"/>
  <c r="AY59"/>
  <c r="AY58"/>
  <c r="AY57"/>
  <c r="AY56"/>
  <c r="AY55"/>
  <c r="AY54"/>
  <c r="AY53"/>
  <c r="AY52"/>
  <c r="AY51"/>
  <c r="CS33" i="1"/>
  <c r="CS32"/>
  <c r="CS30"/>
  <c r="CS29"/>
  <c r="CS28"/>
  <c r="CS27"/>
  <c r="CS26"/>
  <c r="CS23"/>
  <c r="CS22"/>
  <c r="CS21"/>
  <c r="CS20"/>
  <c r="CS19"/>
  <c r="CS18"/>
  <c r="CS17"/>
  <c r="CS16"/>
  <c r="CS13"/>
  <c r="CS11"/>
  <c r="CS12"/>
  <c r="CS7"/>
  <c r="CS8"/>
  <c r="CS9"/>
  <c r="BG2" i="2"/>
  <c r="D4"/>
  <c r="AD4"/>
  <c r="AZ4"/>
  <c r="D6"/>
  <c r="Z26"/>
  <c r="D7"/>
  <c r="BE14"/>
  <c r="H9"/>
  <c r="AD9"/>
  <c r="AZ9"/>
  <c r="H14"/>
  <c r="AD14"/>
  <c r="AZ14"/>
  <c r="H19"/>
  <c r="AD19"/>
  <c r="AZ19"/>
  <c r="H24"/>
  <c r="AD24"/>
  <c r="AZ24"/>
  <c r="H29"/>
  <c r="AD29"/>
  <c r="AZ29"/>
  <c r="H34"/>
  <c r="AD34"/>
  <c r="AZ34"/>
  <c r="H39"/>
  <c r="AD39"/>
  <c r="AZ39"/>
  <c r="A1" i="1"/>
  <c r="AU11" i="7"/>
  <c r="BM2" i="1"/>
  <c r="A5"/>
  <c r="BZ10"/>
  <c r="E6"/>
  <c r="E7"/>
  <c r="E8"/>
  <c r="E9"/>
  <c r="E10"/>
  <c r="E13"/>
  <c r="BZ20"/>
  <c r="B15"/>
  <c r="E15"/>
  <c r="BM15"/>
  <c r="BN15"/>
  <c r="BO15"/>
  <c r="BP15"/>
  <c r="BQ15"/>
  <c r="BR15"/>
  <c r="CC15"/>
  <c r="CD15"/>
  <c r="CE15"/>
  <c r="CF15"/>
  <c r="E16"/>
  <c r="E17"/>
  <c r="E18"/>
  <c r="E19"/>
  <c r="E20"/>
  <c r="E23"/>
  <c r="BZ33"/>
  <c r="B25"/>
  <c r="E25"/>
  <c r="BM25"/>
  <c r="BN25"/>
  <c r="BO25"/>
  <c r="BP25"/>
  <c r="BQ25"/>
  <c r="BR25"/>
  <c r="CC25"/>
  <c r="CD25"/>
  <c r="CE25"/>
  <c r="CF25"/>
  <c r="E26"/>
  <c r="E27"/>
  <c r="E28"/>
  <c r="E29"/>
  <c r="E30"/>
  <c r="E33"/>
  <c r="AK4" i="3"/>
  <c r="B16"/>
  <c r="E12"/>
  <c r="B22"/>
  <c r="K12"/>
  <c r="B28"/>
  <c r="Q12"/>
  <c r="C13" i="7"/>
  <c r="L13"/>
  <c r="U13"/>
  <c r="AD13"/>
  <c r="AM13"/>
  <c r="AV13"/>
  <c r="BE13"/>
  <c r="I24" i="2"/>
  <c r="AC81" i="7"/>
  <c r="CI8" i="1"/>
  <c r="AC21" i="7"/>
  <c r="AL41"/>
  <c r="C23"/>
  <c r="BN13"/>
  <c r="AE29" i="2"/>
  <c r="AE4"/>
  <c r="AE24"/>
  <c r="I4"/>
  <c r="AG4"/>
  <c r="BA14"/>
  <c r="AE9"/>
  <c r="D10"/>
  <c r="BA29"/>
  <c r="I9"/>
  <c r="D20"/>
  <c r="BA4"/>
  <c r="AE34"/>
  <c r="BA34"/>
  <c r="AE14"/>
  <c r="BA24"/>
  <c r="I14"/>
  <c r="BA19"/>
  <c r="I34"/>
  <c r="BA9"/>
  <c r="I19"/>
  <c r="D15"/>
  <c r="I29"/>
  <c r="AG29"/>
  <c r="BC29"/>
  <c r="K19"/>
  <c r="BN73" i="7"/>
  <c r="AL71"/>
  <c r="K41"/>
  <c r="K81"/>
  <c r="BD21"/>
  <c r="B11"/>
  <c r="BD61"/>
  <c r="AU81"/>
  <c r="D21" i="2"/>
  <c r="K4"/>
  <c r="BC24"/>
  <c r="K34"/>
  <c r="AG24"/>
  <c r="BC19"/>
  <c r="K29"/>
  <c r="K9"/>
  <c r="BC14"/>
  <c r="AG9"/>
  <c r="D16"/>
  <c r="BC9"/>
  <c r="AG19"/>
  <c r="BC4"/>
  <c r="D11"/>
  <c r="K14"/>
  <c r="AG14"/>
  <c r="BC34"/>
  <c r="D26"/>
  <c r="AG34"/>
  <c r="BZ19" i="1"/>
  <c r="CI7"/>
  <c r="BZ32"/>
  <c r="AL21" i="7"/>
  <c r="T11"/>
  <c r="BD31"/>
  <c r="T51"/>
  <c r="BM71"/>
  <c r="BM91"/>
  <c r="AC11"/>
  <c r="BD71"/>
  <c r="K91"/>
  <c r="BN43"/>
  <c r="T81"/>
  <c r="T61"/>
  <c r="B71"/>
  <c r="AC61"/>
  <c r="BM41"/>
  <c r="AC91"/>
  <c r="AL81"/>
  <c r="K31"/>
  <c r="AU51"/>
  <c r="BN33"/>
  <c r="AU31"/>
  <c r="AL91"/>
  <c r="T21"/>
  <c r="B61"/>
  <c r="AL61"/>
  <c r="K61"/>
  <c r="T41"/>
  <c r="B81"/>
  <c r="BN53"/>
  <c r="AU71"/>
  <c r="D1" i="2"/>
  <c r="BM31" i="7"/>
  <c r="B31"/>
  <c r="B41"/>
  <c r="AU41"/>
  <c r="BD81"/>
  <c r="AU91"/>
  <c r="AL51"/>
  <c r="K21"/>
  <c r="AU61"/>
  <c r="AC71"/>
  <c r="BM21"/>
  <c r="BD91"/>
  <c r="BM11"/>
  <c r="B1" i="3"/>
  <c r="BM61" i="7"/>
  <c r="B91"/>
  <c r="T71"/>
  <c r="AC51"/>
  <c r="AC31"/>
  <c r="K51"/>
  <c r="BM81"/>
  <c r="BM51"/>
  <c r="K71"/>
  <c r="AL11"/>
  <c r="K11"/>
  <c r="B21"/>
  <c r="T31"/>
  <c r="K1"/>
  <c r="BD11"/>
  <c r="B51"/>
  <c r="AU21"/>
  <c r="T91"/>
  <c r="BD41"/>
  <c r="BD51"/>
  <c r="AL31"/>
  <c r="AC41"/>
  <c r="K24" i="2"/>
  <c r="N15" i="1"/>
  <c r="BB15"/>
  <c r="BZ28"/>
  <c r="AH15"/>
  <c r="BZ30"/>
  <c r="BZ12"/>
  <c r="BZ31"/>
  <c r="BZ26"/>
  <c r="M4" i="2"/>
  <c r="AR15" i="1"/>
  <c r="BN23" i="7"/>
  <c r="BE19" i="2"/>
  <c r="BN93" i="7"/>
  <c r="BN83"/>
  <c r="L23"/>
  <c r="BN63"/>
  <c r="AD23"/>
  <c r="AM23"/>
  <c r="AV23"/>
  <c r="BE23"/>
  <c r="C33"/>
  <c r="L33"/>
  <c r="AD33"/>
  <c r="AM33"/>
  <c r="AV33"/>
  <c r="BE33"/>
  <c r="C43"/>
  <c r="L43"/>
  <c r="U43"/>
  <c r="AD43"/>
  <c r="AM43"/>
  <c r="AV43"/>
  <c r="BE43"/>
  <c r="C53"/>
  <c r="L53"/>
  <c r="AD53"/>
  <c r="AM53"/>
  <c r="AV53"/>
  <c r="BE53"/>
  <c r="C63"/>
  <c r="L63"/>
  <c r="AD63"/>
  <c r="AM63"/>
  <c r="AV63"/>
  <c r="BE63"/>
  <c r="C73"/>
  <c r="L73"/>
  <c r="AD73"/>
  <c r="AM73"/>
  <c r="AV73"/>
  <c r="BE73"/>
  <c r="C83"/>
  <c r="L83"/>
  <c r="AD83"/>
  <c r="AM83"/>
  <c r="AV83"/>
  <c r="BE83"/>
  <c r="C93"/>
  <c r="L93"/>
  <c r="AD93"/>
  <c r="AM93"/>
  <c r="AV93"/>
  <c r="BE93"/>
  <c r="BE9" i="2"/>
  <c r="BZ21" i="1"/>
  <c r="AI29" i="2"/>
  <c r="X15" i="1"/>
  <c r="AI24" i="2"/>
  <c r="BE24"/>
  <c r="BZ22" i="1"/>
  <c r="BZ24"/>
  <c r="BZ18"/>
  <c r="BE29" i="2"/>
  <c r="D27"/>
  <c r="AI9"/>
  <c r="F25" i="1"/>
  <c r="D22" i="2"/>
  <c r="M29"/>
  <c r="AR25" i="1"/>
  <c r="BZ23"/>
  <c r="BZ13"/>
  <c r="BB25"/>
  <c r="AI4" i="2"/>
  <c r="M34"/>
  <c r="M19"/>
  <c r="M9"/>
  <c r="BZ9" i="1"/>
  <c r="BE4" i="2"/>
  <c r="N25" i="1"/>
  <c r="BZ16"/>
  <c r="BE34" i="2"/>
  <c r="BZ11" i="1"/>
  <c r="D17" i="2"/>
  <c r="AI34"/>
  <c r="AI19"/>
  <c r="AH25" i="1"/>
  <c r="BZ17"/>
  <c r="D12" i="2"/>
  <c r="M24"/>
  <c r="AI14"/>
  <c r="M14"/>
  <c r="BZ29" i="1"/>
  <c r="BZ27"/>
  <c r="BZ6"/>
  <c r="BZ7"/>
  <c r="BZ8"/>
  <c r="X25"/>
  <c r="CI6"/>
  <c r="F15"/>
  <c r="F20" i="2"/>
  <c r="B29" i="1"/>
  <c r="BY29"/>
  <c r="F21" i="2"/>
  <c r="AV10"/>
  <c r="Z10"/>
  <c r="AV15"/>
  <c r="Z15"/>
  <c r="AV20"/>
  <c r="Z20"/>
  <c r="AV25"/>
  <c r="Z25"/>
  <c r="AV17"/>
  <c r="Z17"/>
  <c r="AV22"/>
  <c r="Z22"/>
  <c r="AV27"/>
  <c r="Z27"/>
  <c r="AV12"/>
  <c r="Z12"/>
  <c r="B11" i="1"/>
  <c r="F32" i="2"/>
  <c r="B31" i="1"/>
  <c r="AX35" i="2"/>
  <c r="B12" i="1"/>
  <c r="BY12"/>
  <c r="F35" i="2"/>
  <c r="F37"/>
  <c r="B32" i="1"/>
  <c r="AX37" i="2"/>
  <c r="AX36"/>
  <c r="F36"/>
  <c r="B22" i="1"/>
  <c r="BY22"/>
  <c r="F30" i="2"/>
  <c r="F40"/>
  <c r="B13" i="1"/>
  <c r="AX40" i="2"/>
  <c r="AX42"/>
  <c r="AB42"/>
  <c r="B33" i="1"/>
  <c r="F42" i="2"/>
  <c r="F41"/>
  <c r="B23" i="1"/>
  <c r="AX41" i="2"/>
  <c r="AB41"/>
  <c r="AV11"/>
  <c r="Z11"/>
  <c r="AV16"/>
  <c r="Z16"/>
  <c r="AV21"/>
  <c r="Z21"/>
  <c r="B6" i="1"/>
  <c r="K14"/>
  <c r="F5" i="2"/>
  <c r="B26" i="1"/>
  <c r="K34"/>
  <c r="AB7" i="2"/>
  <c r="AD7"/>
  <c r="F7"/>
  <c r="H7"/>
  <c r="F6"/>
  <c r="AV26"/>
  <c r="B7" i="1"/>
  <c r="BY7"/>
  <c r="F10" i="2"/>
  <c r="B27" i="1"/>
  <c r="BY27"/>
  <c r="F12" i="2"/>
  <c r="H12"/>
  <c r="F11"/>
  <c r="B17" i="1"/>
  <c r="BY17"/>
  <c r="AB40" i="2"/>
  <c r="AH5" i="1"/>
  <c r="BB5"/>
  <c r="M14"/>
  <c r="BY13"/>
  <c r="AO34"/>
  <c r="AY34"/>
  <c r="AQ34"/>
  <c r="BA34"/>
  <c r="BY26"/>
  <c r="U34"/>
  <c r="W34"/>
  <c r="BK34"/>
  <c r="AE34"/>
  <c r="AG34"/>
  <c r="BI34"/>
  <c r="BY23"/>
  <c r="X5"/>
  <c r="AR5"/>
  <c r="BY33"/>
  <c r="B30"/>
  <c r="BY30"/>
  <c r="F26" i="2"/>
  <c r="F27"/>
  <c r="B10" i="1"/>
  <c r="F25" i="2"/>
  <c r="H25"/>
  <c r="D31"/>
  <c r="D36"/>
  <c r="D41"/>
  <c r="K39"/>
  <c r="BK14" i="1"/>
  <c r="H6" i="2"/>
  <c r="AB32"/>
  <c r="BA14" i="1"/>
  <c r="AY14"/>
  <c r="AG14"/>
  <c r="U14"/>
  <c r="AB12" i="2"/>
  <c r="AD12"/>
  <c r="AQ14" i="1"/>
  <c r="BY6"/>
  <c r="AB27" i="2"/>
  <c r="AD27"/>
  <c r="AO14" i="1"/>
  <c r="W14"/>
  <c r="AE14"/>
  <c r="Y30" i="2"/>
  <c r="AB30"/>
  <c r="BI14" i="1"/>
  <c r="AD41" i="2"/>
  <c r="AV32"/>
  <c r="AV37"/>
  <c r="AV42"/>
  <c r="AB15"/>
  <c r="AD15"/>
  <c r="B20" i="1"/>
  <c r="AB21" i="2"/>
  <c r="AD21"/>
  <c r="AB22"/>
  <c r="AD22"/>
  <c r="F22"/>
  <c r="H22"/>
  <c r="AB10"/>
  <c r="AD10"/>
  <c r="AX11"/>
  <c r="AB16"/>
  <c r="AD16"/>
  <c r="AZ41"/>
  <c r="B8" i="1"/>
  <c r="AB11" i="2"/>
  <c r="AD11"/>
  <c r="H21"/>
  <c r="F15"/>
  <c r="H15"/>
  <c r="AX6"/>
  <c r="B28" i="1"/>
  <c r="BY28"/>
  <c r="F16" i="2"/>
  <c r="H16"/>
  <c r="AD35"/>
  <c r="AB17"/>
  <c r="AD17"/>
  <c r="AX17"/>
  <c r="AZ17"/>
  <c r="AD42"/>
  <c r="H36"/>
  <c r="AZ35"/>
  <c r="AZ42"/>
  <c r="Z32"/>
  <c r="Z37"/>
  <c r="Z42"/>
  <c r="Z31"/>
  <c r="Z36"/>
  <c r="Z41"/>
  <c r="Z30"/>
  <c r="Z35"/>
  <c r="Z40"/>
  <c r="D35"/>
  <c r="AV31"/>
  <c r="AV36"/>
  <c r="AV41"/>
  <c r="AV30"/>
  <c r="AV35"/>
  <c r="AV40"/>
  <c r="AG49" i="4"/>
  <c r="AI49"/>
  <c r="AG62"/>
  <c r="D40" i="2"/>
  <c r="BY16" i="1"/>
  <c r="AG24"/>
  <c r="M24"/>
  <c r="U24"/>
  <c r="W24"/>
  <c r="BK24"/>
  <c r="AY24"/>
  <c r="BA24"/>
  <c r="AO24"/>
  <c r="AE24"/>
  <c r="BI24"/>
  <c r="K24"/>
  <c r="AQ24"/>
  <c r="AZ12" i="2"/>
  <c r="AZ22"/>
  <c r="M34" i="1"/>
  <c r="AZ27" i="2"/>
  <c r="AE86" i="4"/>
  <c r="A42" i="5"/>
  <c r="AH57" i="4"/>
  <c r="Y35" i="2"/>
  <c r="AG39"/>
  <c r="BC39"/>
  <c r="BY32" i="1"/>
  <c r="H35" i="2"/>
  <c r="H5"/>
  <c r="B21" i="1"/>
  <c r="D32" i="2"/>
  <c r="D37"/>
  <c r="D42"/>
  <c r="H10"/>
  <c r="H37"/>
  <c r="AD40"/>
  <c r="H30"/>
  <c r="H41"/>
  <c r="AZ6"/>
  <c r="AO73" i="4"/>
  <c r="BY11" i="1"/>
  <c r="H20" i="2"/>
  <c r="AG87" i="4"/>
  <c r="AO52"/>
  <c r="AZ36" i="2"/>
  <c r="H26"/>
  <c r="AZ40"/>
  <c r="AZ37"/>
  <c r="H42"/>
  <c r="F31"/>
  <c r="H32"/>
  <c r="H40"/>
  <c r="BY31" i="1"/>
  <c r="H27" i="2"/>
  <c r="AD5"/>
  <c r="H11"/>
  <c r="AU36"/>
  <c r="AU21"/>
  <c r="AX21"/>
  <c r="Y31"/>
  <c r="AB31"/>
  <c r="AU31"/>
  <c r="AX31"/>
  <c r="AU20"/>
  <c r="AX20"/>
  <c r="AZ20"/>
  <c r="Y26"/>
  <c r="AB26"/>
  <c r="AU35"/>
  <c r="AU15"/>
  <c r="AX15"/>
  <c r="AZ15"/>
  <c r="AU30"/>
  <c r="AX30"/>
  <c r="AU10"/>
  <c r="AX10"/>
  <c r="Y25"/>
  <c r="AB25"/>
  <c r="Y36"/>
  <c r="AU26"/>
  <c r="AX26"/>
  <c r="AZ26"/>
  <c r="Y20"/>
  <c r="AB20"/>
  <c r="AZ5"/>
  <c r="AD37"/>
  <c r="AZ16"/>
  <c r="AD6"/>
  <c r="AZ11"/>
  <c r="AD36"/>
  <c r="AU25"/>
  <c r="AX25"/>
  <c r="BY21" i="1"/>
  <c r="AH99" i="4"/>
  <c r="BY8" i="1"/>
  <c r="BY20"/>
  <c r="BY10"/>
  <c r="AH92" i="4"/>
  <c r="AP72"/>
  <c r="AO116"/>
  <c r="AE75"/>
  <c r="A31" i="5"/>
  <c r="AO75" i="4"/>
  <c r="AH88"/>
  <c r="AH119"/>
  <c r="AP114"/>
  <c r="AO53"/>
  <c r="AO57"/>
  <c r="AH55"/>
  <c r="AE120"/>
  <c r="A76" i="5"/>
  <c r="AO104" i="4"/>
  <c r="AE79"/>
  <c r="A35" i="5"/>
  <c r="AO92" i="4"/>
  <c r="AO61"/>
  <c r="AN61"/>
  <c r="J17" i="5"/>
  <c r="X20" i="7"/>
  <c r="AH87" i="4"/>
  <c r="AP83"/>
  <c r="AE100"/>
  <c r="A56" i="5"/>
  <c r="AE108" i="4"/>
  <c r="A64" i="5"/>
  <c r="AP93" i="4"/>
  <c r="AH62"/>
  <c r="AJ62"/>
  <c r="AG105"/>
  <c r="AP87"/>
  <c r="AE119"/>
  <c r="A75" i="5"/>
  <c r="AG55" i="4"/>
  <c r="AI55"/>
  <c r="AE68"/>
  <c r="A24" i="5"/>
  <c r="AE103" i="4"/>
  <c r="A59" i="5"/>
  <c r="AH86" i="4"/>
  <c r="AH118"/>
  <c r="AE98"/>
  <c r="A54" i="5"/>
  <c r="AH96" i="4"/>
  <c r="AH81"/>
  <c r="AH72"/>
  <c r="AH117"/>
  <c r="AP54"/>
  <c r="AG59"/>
  <c r="AI59"/>
  <c r="B25" i="7"/>
  <c r="AH114" i="4"/>
  <c r="AO74"/>
  <c r="AG74"/>
  <c r="AI74"/>
  <c r="BM35" i="7"/>
  <c r="AP70" i="4"/>
  <c r="AO95"/>
  <c r="AO82"/>
  <c r="AN82"/>
  <c r="J38" i="5"/>
  <c r="BQ60" i="7"/>
  <c r="AO96" i="4"/>
  <c r="AN96"/>
  <c r="J52" i="5"/>
  <c r="AY65" i="7"/>
  <c r="AH106" i="4"/>
  <c r="AE55"/>
  <c r="A11" i="5"/>
  <c r="AO83" i="4"/>
  <c r="AN83"/>
  <c r="J39" i="5"/>
  <c r="F50" i="7"/>
  <c r="AH97" i="4"/>
  <c r="AO105"/>
  <c r="AO97"/>
  <c r="AH74"/>
  <c r="AP115"/>
  <c r="AH73"/>
  <c r="AE62"/>
  <c r="A18" i="5"/>
  <c r="AO89" i="4"/>
  <c r="AN89"/>
  <c r="BH55" i="7"/>
  <c r="AH56" i="4"/>
  <c r="AP61"/>
  <c r="AO70"/>
  <c r="AH105"/>
  <c r="AG121"/>
  <c r="AG85"/>
  <c r="AI85"/>
  <c r="C41" i="5"/>
  <c r="AO79" i="4"/>
  <c r="AN79"/>
  <c r="J35" i="5"/>
  <c r="AH66" i="4"/>
  <c r="AH60"/>
  <c r="AE60"/>
  <c r="A16" i="5"/>
  <c r="AE105" i="4"/>
  <c r="A61" i="5"/>
  <c r="AP60" i="4"/>
  <c r="AP100"/>
  <c r="AH80"/>
  <c r="AP59"/>
  <c r="AG109"/>
  <c r="AH93"/>
  <c r="AO67"/>
  <c r="AN67"/>
  <c r="J23" i="5"/>
  <c r="F35" i="7"/>
  <c r="AP81" i="4"/>
  <c r="AP112"/>
  <c r="AP101"/>
  <c r="AH115"/>
  <c r="AP55"/>
  <c r="AO106"/>
  <c r="AG89"/>
  <c r="AI89"/>
  <c r="AE121"/>
  <c r="A77" i="5"/>
  <c r="AG51" i="4"/>
  <c r="AP121"/>
  <c r="AP117"/>
  <c r="AP94"/>
  <c r="AH116"/>
  <c r="AP71"/>
  <c r="AG67"/>
  <c r="AI67"/>
  <c r="C23" i="5"/>
  <c r="B35" i="7"/>
  <c r="AE63" i="4"/>
  <c r="A19" i="5"/>
  <c r="AE54" i="4"/>
  <c r="A10" i="5"/>
  <c r="AP57" i="4"/>
  <c r="AO55"/>
  <c r="AO85"/>
  <c r="AP64"/>
  <c r="AJ55"/>
  <c r="V11" i="5"/>
  <c r="AG93" i="4"/>
  <c r="AI93"/>
  <c r="T65" i="7"/>
  <c r="AE67" i="4"/>
  <c r="A23" i="5"/>
  <c r="AO90" i="4"/>
  <c r="AP52"/>
  <c r="AG69"/>
  <c r="AI69"/>
  <c r="T35" i="7"/>
  <c r="AO65" i="4"/>
  <c r="AN65"/>
  <c r="J21" i="5"/>
  <c r="BH25" i="7"/>
  <c r="AO59" i="4"/>
  <c r="AN59"/>
  <c r="J15" i="5"/>
  <c r="F25" i="7"/>
  <c r="AG65" i="4"/>
  <c r="AG118"/>
  <c r="AI118"/>
  <c r="C74" i="5"/>
  <c r="AC95" i="7"/>
  <c r="AG101" i="4"/>
  <c r="AH112"/>
  <c r="AE87"/>
  <c r="A43" i="5"/>
  <c r="AG54" i="4"/>
  <c r="AI54"/>
  <c r="AH78"/>
  <c r="AG90"/>
  <c r="AE66"/>
  <c r="A22" i="5"/>
  <c r="AH76" i="4"/>
  <c r="AM83"/>
  <c r="U39" i="5"/>
  <c r="AH101" i="4"/>
  <c r="AG61"/>
  <c r="AP109"/>
  <c r="AE92"/>
  <c r="A48" i="5"/>
  <c r="AE88" i="4"/>
  <c r="A44" i="5"/>
  <c r="AG78" i="4"/>
  <c r="AI78"/>
  <c r="AC45" i="7"/>
  <c r="AG111" i="4"/>
  <c r="AI111"/>
  <c r="C67" i="5"/>
  <c r="AP99" i="4"/>
  <c r="AO71"/>
  <c r="AH90"/>
  <c r="AE52"/>
  <c r="A8" i="5"/>
  <c r="AH64" i="4"/>
  <c r="AP122"/>
  <c r="BH20" i="7"/>
  <c r="AG110" i="4"/>
  <c r="AE56"/>
  <c r="A12" i="5"/>
  <c r="AP77" i="4"/>
  <c r="AE93"/>
  <c r="A49" i="5"/>
  <c r="AH98" i="4"/>
  <c r="AE82"/>
  <c r="A38" i="5"/>
  <c r="AO51" i="4"/>
  <c r="AH121"/>
  <c r="AK121"/>
  <c r="D77" i="5"/>
  <c r="BD96" i="7"/>
  <c r="AG81" i="4"/>
  <c r="AI81"/>
  <c r="C37" i="5"/>
  <c r="BD45" i="7"/>
  <c r="AO91" i="4"/>
  <c r="AN91"/>
  <c r="F65" i="7"/>
  <c r="AE83" i="4"/>
  <c r="A39" i="5"/>
  <c r="AO103" i="4"/>
  <c r="AN103"/>
  <c r="J59" i="5"/>
  <c r="AE113" i="4"/>
  <c r="A69" i="5"/>
  <c r="AG86" i="4"/>
  <c r="AK86"/>
  <c r="D42" i="5"/>
  <c r="AP107" i="4"/>
  <c r="AP51"/>
  <c r="AH91"/>
  <c r="AP82"/>
  <c r="AM82"/>
  <c r="AG122"/>
  <c r="AO84"/>
  <c r="AP119"/>
  <c r="AG66"/>
  <c r="AJ66"/>
  <c r="AO56"/>
  <c r="AN56"/>
  <c r="AH113"/>
  <c r="AG82"/>
  <c r="AO88"/>
  <c r="AH111"/>
  <c r="AO113"/>
  <c r="AN113"/>
  <c r="J69" i="5"/>
  <c r="L61"/>
  <c r="BH80" i="7"/>
  <c r="AO54" i="4"/>
  <c r="AN54"/>
  <c r="AG15" i="7"/>
  <c r="AH84" i="4"/>
  <c r="AH82"/>
  <c r="AP53"/>
  <c r="AM53"/>
  <c r="AG96"/>
  <c r="AI96"/>
  <c r="AU65" i="7"/>
  <c r="AH63" i="4"/>
  <c r="AE102"/>
  <c r="A58" i="5"/>
  <c r="AO81" i="4"/>
  <c r="AL81"/>
  <c r="I37" i="5"/>
  <c r="BH46" i="7"/>
  <c r="AH54" i="4"/>
  <c r="AK54"/>
  <c r="AC16" i="7"/>
  <c r="AH122" i="4"/>
  <c r="AG57"/>
  <c r="AI57"/>
  <c r="BH40" i="7"/>
  <c r="AP102" i="4"/>
  <c r="AH110"/>
  <c r="AG64"/>
  <c r="AI64"/>
  <c r="C20" i="5"/>
  <c r="AU25" i="7"/>
  <c r="AO77" i="4"/>
  <c r="AH104"/>
  <c r="AG102"/>
  <c r="AG108"/>
  <c r="AI108"/>
  <c r="C64" i="5"/>
  <c r="AP85" i="4"/>
  <c r="AM85"/>
  <c r="AE118"/>
  <c r="A74" i="5"/>
  <c r="AL83" i="4"/>
  <c r="I39" i="5"/>
  <c r="F56" i="7"/>
  <c r="AP66" i="4"/>
  <c r="AP76"/>
  <c r="AH52"/>
  <c r="AE80"/>
  <c r="A36" i="5"/>
  <c r="AE84" i="4"/>
  <c r="A40" i="5"/>
  <c r="AP89" i="4"/>
  <c r="AM89"/>
  <c r="U45" i="5"/>
  <c r="AO121" i="4"/>
  <c r="AM121"/>
  <c r="AE78"/>
  <c r="A34" i="5"/>
  <c r="AH107" i="4"/>
  <c r="AP116"/>
  <c r="AO110"/>
  <c r="AN110"/>
  <c r="J66" i="5"/>
  <c r="AP111" i="4"/>
  <c r="AE116"/>
  <c r="A72" i="5"/>
  <c r="AG100" i="4"/>
  <c r="AI100"/>
  <c r="C56" i="5"/>
  <c r="K75" i="7"/>
  <c r="AH68" i="4"/>
  <c r="AH58"/>
  <c r="AP92"/>
  <c r="AH108"/>
  <c r="AH79"/>
  <c r="AL82"/>
  <c r="I38" i="5"/>
  <c r="BQ46" i="7"/>
  <c r="AL59" i="4"/>
  <c r="I15" i="5"/>
  <c r="G20" i="7"/>
  <c r="AE65" i="4"/>
  <c r="A21" i="5"/>
  <c r="AO114" i="4"/>
  <c r="AL114"/>
  <c r="I70" i="5"/>
  <c r="AG97" i="4"/>
  <c r="AO99"/>
  <c r="AO118"/>
  <c r="AN118"/>
  <c r="J74" i="5"/>
  <c r="AG95" i="7"/>
  <c r="AO122" i="4"/>
  <c r="AG84"/>
  <c r="AK84"/>
  <c r="D40" i="5"/>
  <c r="AO108" i="4"/>
  <c r="AE95"/>
  <c r="A51" i="5"/>
  <c r="AG113" i="4"/>
  <c r="AI113"/>
  <c r="C69" i="5"/>
  <c r="AG80" i="4"/>
  <c r="AI80"/>
  <c r="AU45" i="7"/>
  <c r="AG72" i="4"/>
  <c r="AI72"/>
  <c r="AU35" i="7"/>
  <c r="AG68" i="4"/>
  <c r="AI68"/>
  <c r="C24" i="5"/>
  <c r="K35" i="7"/>
  <c r="AG115" i="4"/>
  <c r="AJ115"/>
  <c r="AG73"/>
  <c r="AJ73"/>
  <c r="AG104"/>
  <c r="AI104"/>
  <c r="C60" i="5"/>
  <c r="AU75" i="7"/>
  <c r="AE97" i="4"/>
  <c r="A53" i="5"/>
  <c r="AO64" i="4"/>
  <c r="AN64"/>
  <c r="J20" i="5"/>
  <c r="AY20" i="7"/>
  <c r="AE101" i="4"/>
  <c r="A57" i="5"/>
  <c r="AO94" i="4"/>
  <c r="AE90"/>
  <c r="A46" i="5"/>
  <c r="AP68" i="4"/>
  <c r="AH89"/>
  <c r="AE57"/>
  <c r="A13" i="5"/>
  <c r="AG56" i="4"/>
  <c r="AI56"/>
  <c r="AE94"/>
  <c r="A50" i="5"/>
  <c r="AO98" i="4"/>
  <c r="AE114"/>
  <c r="A70" i="5"/>
  <c r="AG76" i="4"/>
  <c r="AI76"/>
  <c r="K45" i="7"/>
  <c r="AP90" i="4"/>
  <c r="AL90"/>
  <c r="AP113"/>
  <c r="AO119"/>
  <c r="AN119"/>
  <c r="J75" i="5"/>
  <c r="AP95" i="7"/>
  <c r="AP62" i="4"/>
  <c r="U83" i="5"/>
  <c r="AE58" i="4"/>
  <c r="A14" i="5"/>
  <c r="AO101" i="4"/>
  <c r="AH102"/>
  <c r="AJ102"/>
  <c r="AG92"/>
  <c r="AK92"/>
  <c r="AH59"/>
  <c r="AJ59"/>
  <c r="U87" i="5"/>
  <c r="AH69" i="4"/>
  <c r="AK69"/>
  <c r="AP58"/>
  <c r="AG119"/>
  <c r="AK119"/>
  <c r="D75" i="5"/>
  <c r="AO87" i="4"/>
  <c r="AG106"/>
  <c r="AJ106"/>
  <c r="V62" i="5"/>
  <c r="AE72" i="4"/>
  <c r="A28" i="5"/>
  <c r="AE91" i="4"/>
  <c r="A47" i="5"/>
  <c r="AE77" i="4"/>
  <c r="A33" i="5"/>
  <c r="AG88" i="4"/>
  <c r="AJ88"/>
  <c r="AO76"/>
  <c r="AN76"/>
  <c r="J32" i="5"/>
  <c r="AO62" i="4"/>
  <c r="AN62"/>
  <c r="J18" i="5"/>
  <c r="AP120" i="4"/>
  <c r="AE111"/>
  <c r="A67" i="5"/>
  <c r="AO72" i="4"/>
  <c r="AN72"/>
  <c r="AY35" i="7"/>
  <c r="AG83" i="4"/>
  <c r="AI83"/>
  <c r="C39" i="5"/>
  <c r="B55" i="7"/>
  <c r="AH61" i="4"/>
  <c r="AE96"/>
  <c r="A52" i="5"/>
  <c r="AP80" i="4"/>
  <c r="AE61"/>
  <c r="A17" i="5"/>
  <c r="AO112" i="4"/>
  <c r="AM112"/>
  <c r="AE106"/>
  <c r="A62" i="5"/>
  <c r="AG52" i="4"/>
  <c r="AJ52"/>
  <c r="AO68"/>
  <c r="AP108"/>
  <c r="AP73"/>
  <c r="AP65"/>
  <c r="AL65"/>
  <c r="I21" i="5"/>
  <c r="BI20" i="7"/>
  <c r="AG98" i="4"/>
  <c r="AI98"/>
  <c r="BM65" i="7"/>
  <c r="AE73" i="4"/>
  <c r="A29" i="5"/>
  <c r="AG116" i="4"/>
  <c r="AE109"/>
  <c r="A65" i="5"/>
  <c r="AP86" i="4"/>
  <c r="AE85"/>
  <c r="A41" i="5"/>
  <c r="AG103" i="4"/>
  <c r="AI103"/>
  <c r="C59" i="5"/>
  <c r="AL75" i="7"/>
  <c r="AE89" i="4"/>
  <c r="A45" i="5"/>
  <c r="AP78" i="4"/>
  <c r="AO107"/>
  <c r="AG91"/>
  <c r="AK91"/>
  <c r="AH70"/>
  <c r="AE107"/>
  <c r="A63" i="5"/>
  <c r="AH53" i="4"/>
  <c r="AP95"/>
  <c r="AM95"/>
  <c r="AP69"/>
  <c r="AO63"/>
  <c r="AN63"/>
  <c r="J19" i="5"/>
  <c r="AP25" i="7"/>
  <c r="AH85" i="4"/>
  <c r="AK85"/>
  <c r="D41" i="5"/>
  <c r="Y70" i="7"/>
  <c r="AP97" i="4"/>
  <c r="AO60"/>
  <c r="AN60"/>
  <c r="J16" i="5"/>
  <c r="O20" i="7"/>
  <c r="AE115" i="4"/>
  <c r="A71" i="5"/>
  <c r="AE51" i="4"/>
  <c r="A7" i="5"/>
  <c r="AP88" i="4"/>
  <c r="AG63"/>
  <c r="AK63"/>
  <c r="D19" i="5"/>
  <c r="AP106" i="4"/>
  <c r="AE110"/>
  <c r="A66" i="5"/>
  <c r="AH51" i="4"/>
  <c r="AK51"/>
  <c r="AE71"/>
  <c r="A27" i="5"/>
  <c r="AE122" i="4"/>
  <c r="A78" i="5"/>
  <c r="AG77" i="4"/>
  <c r="AI77"/>
  <c r="T45" i="7"/>
  <c r="V111" i="5"/>
  <c r="AI62" i="4"/>
  <c r="AC25" i="7"/>
  <c r="AG107" i="4"/>
  <c r="AI107"/>
  <c r="C63" i="5"/>
  <c r="AH120" i="4"/>
  <c r="AO58"/>
  <c r="AN58"/>
  <c r="J14" i="5"/>
  <c r="AE76" i="4"/>
  <c r="A32" i="5"/>
  <c r="AO109" i="4"/>
  <c r="AM109"/>
  <c r="AH100"/>
  <c r="AP105"/>
  <c r="AM105"/>
  <c r="AE99"/>
  <c r="A55" i="5"/>
  <c r="AP63" i="4"/>
  <c r="AP67"/>
  <c r="AL67"/>
  <c r="I23" i="5"/>
  <c r="F36" i="7"/>
  <c r="AP110" i="4"/>
  <c r="AO78"/>
  <c r="AN78"/>
  <c r="J34" i="5"/>
  <c r="AP79" i="4"/>
  <c r="AH77"/>
  <c r="AO111"/>
  <c r="AO80"/>
  <c r="AH67"/>
  <c r="AG120"/>
  <c r="AI120"/>
  <c r="C76" i="5"/>
  <c r="AU95" i="7"/>
  <c r="AG94" i="4"/>
  <c r="AI94"/>
  <c r="AC65" i="7"/>
  <c r="AE104" i="4"/>
  <c r="A60" i="5"/>
  <c r="AO102" i="4"/>
  <c r="AN102"/>
  <c r="J58" i="5"/>
  <c r="AG75" i="4"/>
  <c r="AI75"/>
  <c r="B45" i="7"/>
  <c r="AG71" i="4"/>
  <c r="AI71"/>
  <c r="AL35" i="7"/>
  <c r="AG95" i="4"/>
  <c r="AI95"/>
  <c r="AL65" i="7"/>
  <c r="AE112" i="4"/>
  <c r="A68" i="5"/>
  <c r="AP118" i="4"/>
  <c r="AG53"/>
  <c r="AI53"/>
  <c r="AH75"/>
  <c r="AH95"/>
  <c r="AG114"/>
  <c r="AI114"/>
  <c r="C70" i="5"/>
  <c r="AP74" i="4"/>
  <c r="AM74"/>
  <c r="I39" i="2"/>
  <c r="BA39"/>
  <c r="AE39"/>
  <c r="AP98" i="4"/>
  <c r="AL98"/>
  <c r="I54" i="5"/>
  <c r="BQ66" i="7"/>
  <c r="AP91" i="4"/>
  <c r="AM91"/>
  <c r="AH65"/>
  <c r="AJ65"/>
  <c r="AE74"/>
  <c r="A30" i="5"/>
  <c r="AG117" i="4"/>
  <c r="AK117"/>
  <c r="D73" i="5"/>
  <c r="AG70" i="4"/>
  <c r="AI70"/>
  <c r="AC35" i="7"/>
  <c r="AP96" i="4"/>
  <c r="AM96"/>
  <c r="AO86"/>
  <c r="AN86"/>
  <c r="J42" i="5"/>
  <c r="AP84" i="4"/>
  <c r="AM84"/>
  <c r="AE53"/>
  <c r="A9" i="5"/>
  <c r="AP104" i="4"/>
  <c r="AM104"/>
  <c r="AO117"/>
  <c r="AN117"/>
  <c r="J73" i="5"/>
  <c r="X95" i="7"/>
  <c r="AP56" i="4"/>
  <c r="AG79"/>
  <c r="AO100"/>
  <c r="AN100"/>
  <c r="J56" i="5"/>
  <c r="O75" i="7"/>
  <c r="AO115" i="4"/>
  <c r="AN115"/>
  <c r="J71" i="5"/>
  <c r="F95" i="7"/>
  <c r="AE59" i="4"/>
  <c r="A15" i="5"/>
  <c r="AG112" i="4"/>
  <c r="AJ112"/>
  <c r="AP103"/>
  <c r="AL103"/>
  <c r="I59" i="5"/>
  <c r="M67"/>
  <c r="AQ90" i="7"/>
  <c r="AE64" i="4"/>
  <c r="A20" i="5"/>
  <c r="AH109" i="4"/>
  <c r="AK109"/>
  <c r="D65" i="5"/>
  <c r="AG58" i="4"/>
  <c r="AK58"/>
  <c r="AH83"/>
  <c r="AH94"/>
  <c r="AE117"/>
  <c r="A73" i="5"/>
  <c r="AO66" i="4"/>
  <c r="AG99"/>
  <c r="AI99"/>
  <c r="C55" i="5"/>
  <c r="B75" i="7"/>
  <c r="AO93" i="4"/>
  <c r="AN93"/>
  <c r="J49" i="5"/>
  <c r="X65" i="7"/>
  <c r="AO120" i="4"/>
  <c r="AN120"/>
  <c r="J76" i="5"/>
  <c r="AY95" i="7"/>
  <c r="AE70" i="4"/>
  <c r="A26" i="5"/>
  <c r="AE69" i="4"/>
  <c r="A25" i="5"/>
  <c r="AH71" i="4"/>
  <c r="AH103"/>
  <c r="AJ103"/>
  <c r="AE81"/>
  <c r="AP75"/>
  <c r="AM75"/>
  <c r="AO69"/>
  <c r="AG60"/>
  <c r="G50" i="7"/>
  <c r="AJ121" i="4"/>
  <c r="U149" i="5"/>
  <c r="M39" i="2"/>
  <c r="AI39"/>
  <c r="BE39"/>
  <c r="AN51" i="4"/>
  <c r="AK55"/>
  <c r="AL16" i="7"/>
  <c r="AJ80" i="4"/>
  <c r="AL109"/>
  <c r="I65" i="5"/>
  <c r="AI91" i="4"/>
  <c r="B65" i="7"/>
  <c r="X70"/>
  <c r="T55"/>
  <c r="AN75" i="4"/>
  <c r="J31" i="5"/>
  <c r="AL110" i="4"/>
  <c r="I66" i="5"/>
  <c r="AK101" i="4"/>
  <c r="D57" i="5"/>
  <c r="T76" i="7"/>
  <c r="AI101" i="4"/>
  <c r="C57" i="5"/>
  <c r="T75" i="7"/>
  <c r="AJ101" i="4"/>
  <c r="AN84"/>
  <c r="J40" i="5"/>
  <c r="BH85" i="7"/>
  <c r="AI121" i="4"/>
  <c r="C77" i="5"/>
  <c r="BD95" i="7"/>
  <c r="AN97" i="4"/>
  <c r="J53" i="5"/>
  <c r="BH65" i="7"/>
  <c r="AM97" i="4"/>
  <c r="AL97"/>
  <c r="I53" i="5"/>
  <c r="BH66" i="7"/>
  <c r="AN90" i="4"/>
  <c r="AI109"/>
  <c r="C65" i="5"/>
  <c r="AP20" i="7"/>
  <c r="AI65" i="4"/>
  <c r="C21" i="5"/>
  <c r="BD25" i="7"/>
  <c r="BQ45"/>
  <c r="AN88" i="4"/>
  <c r="AL116"/>
  <c r="I72" i="5"/>
  <c r="AM116" i="4"/>
  <c r="AN116"/>
  <c r="J72" i="5"/>
  <c r="O95" i="7"/>
  <c r="AJ72" i="4"/>
  <c r="AM76"/>
  <c r="F55" i="7"/>
  <c r="AN74" i="4"/>
  <c r="AL78"/>
  <c r="I34" i="5"/>
  <c r="AN95" i="4"/>
  <c r="J51" i="5"/>
  <c r="AP65" i="7"/>
  <c r="AL95" i="4"/>
  <c r="I51" i="5"/>
  <c r="AM71" i="4"/>
  <c r="AL71"/>
  <c r="AN71"/>
  <c r="AP35" i="7"/>
  <c r="AI122" i="4"/>
  <c r="C78" i="5"/>
  <c r="BM95" i="7"/>
  <c r="AN53" i="4"/>
  <c r="AL92"/>
  <c r="O66" i="7"/>
  <c r="AM92" i="4"/>
  <c r="AN92"/>
  <c r="O65" i="7"/>
  <c r="AL57" i="4"/>
  <c r="I13" i="5"/>
  <c r="AM57" i="4"/>
  <c r="AN57"/>
  <c r="J13" i="5"/>
  <c r="AM94" i="4"/>
  <c r="AN94"/>
  <c r="J50" i="5"/>
  <c r="AG65" i="7"/>
  <c r="AJ86" i="4"/>
  <c r="AL112"/>
  <c r="I68" i="5"/>
  <c r="AN112" i="4"/>
  <c r="J68" i="5"/>
  <c r="AN81" i="4"/>
  <c r="J37" i="5"/>
  <c r="AM81" i="4"/>
  <c r="AJ98"/>
  <c r="AI61"/>
  <c r="T25" i="7"/>
  <c r="AN70" i="4"/>
  <c r="AG35" i="7"/>
  <c r="AL70" i="4"/>
  <c r="AG36" i="7"/>
  <c r="AL121" i="4"/>
  <c r="I77" i="5"/>
  <c r="BH96" i="7"/>
  <c r="AJ120" i="4"/>
  <c r="AN98"/>
  <c r="J54" i="5"/>
  <c r="BQ65" i="7"/>
  <c r="BH50"/>
  <c r="AZ30" i="2"/>
  <c r="AP40" i="7"/>
  <c r="AL15"/>
  <c r="AZ31" i="2"/>
  <c r="L67" i="5"/>
  <c r="AP90" i="7"/>
  <c r="AP75"/>
  <c r="AD20" i="2"/>
  <c r="AL101" i="4"/>
  <c r="I57" i="5"/>
  <c r="AN101" i="4"/>
  <c r="J57" i="5"/>
  <c r="AM101" i="4"/>
  <c r="AN73"/>
  <c r="AL73"/>
  <c r="AM73"/>
  <c r="AD32" i="2"/>
  <c r="AN55" i="4"/>
  <c r="AI87"/>
  <c r="AJ87"/>
  <c r="AK87"/>
  <c r="AK96"/>
  <c r="AD26" i="2"/>
  <c r="AN106" i="4"/>
  <c r="J62" i="5"/>
  <c r="AM106" i="4"/>
  <c r="AL106"/>
  <c r="I62" i="5"/>
  <c r="AI82" i="4"/>
  <c r="C38" i="5"/>
  <c r="AL52" i="4"/>
  <c r="AM52"/>
  <c r="AN52"/>
  <c r="AJ105"/>
  <c r="AI105"/>
  <c r="C61" i="5"/>
  <c r="BD75" i="7"/>
  <c r="AK105" i="4"/>
  <c r="D61" i="5"/>
  <c r="AM99" i="4"/>
  <c r="AN99"/>
  <c r="J55" i="5"/>
  <c r="AL99" i="4"/>
  <c r="I55" i="5"/>
  <c r="AI84" i="4"/>
  <c r="C40" i="5"/>
  <c r="AC15" i="7"/>
  <c r="AG40"/>
  <c r="AD25" i="2"/>
  <c r="H31"/>
  <c r="AN77" i="4"/>
  <c r="J33" i="5"/>
  <c r="AL77" i="4"/>
  <c r="I33" i="5"/>
  <c r="AM77" i="4"/>
  <c r="AJ51"/>
  <c r="AI51"/>
  <c r="U134" i="5"/>
  <c r="AZ25" i="2"/>
  <c r="AZ10"/>
  <c r="AD31"/>
  <c r="AI97" i="4"/>
  <c r="AK97"/>
  <c r="AN85"/>
  <c r="J41" i="5"/>
  <c r="AJ56" i="4"/>
  <c r="AZ21" i="2"/>
  <c r="AN104" i="4"/>
  <c r="J60" i="5"/>
  <c r="AJ69" i="4"/>
  <c r="AL58"/>
  <c r="I14" i="5"/>
  <c r="AN87" i="4"/>
  <c r="AZ32" i="2"/>
  <c r="AD30"/>
  <c r="AI90" i="4"/>
  <c r="AL105"/>
  <c r="I61" i="5"/>
  <c r="AN105" i="4"/>
  <c r="J61" i="5"/>
  <c r="AK81" i="4"/>
  <c r="D37" i="5"/>
  <c r="F26" i="7"/>
  <c r="AJ122" i="4"/>
  <c r="AK110"/>
  <c r="D66" i="5"/>
  <c r="AK56" i="4"/>
  <c r="AJ97"/>
  <c r="AL87"/>
  <c r="AI110"/>
  <c r="C66" i="5"/>
  <c r="AJ81" i="4"/>
  <c r="AM87"/>
  <c r="AJ96"/>
  <c r="AK98"/>
  <c r="BM66" i="7"/>
  <c r="AJ60" i="4"/>
  <c r="AJ110"/>
  <c r="AJ111"/>
  <c r="U139" i="5"/>
  <c r="AM61" i="4"/>
  <c r="AK82"/>
  <c r="D38" i="5"/>
  <c r="AM51" i="4"/>
  <c r="AL122"/>
  <c r="I78" i="5"/>
  <c r="AJ90" i="4"/>
  <c r="AL64"/>
  <c r="I20" i="5"/>
  <c r="AM55" i="4"/>
  <c r="AK118"/>
  <c r="D74" i="5"/>
  <c r="AC96" i="7"/>
  <c r="AJ113" i="4"/>
  <c r="AK113"/>
  <c r="D69" i="5"/>
  <c r="AN114" i="4"/>
  <c r="J70" i="5"/>
  <c r="AK111" i="4"/>
  <c r="D67" i="5"/>
  <c r="AJ61" i="4"/>
  <c r="AM113"/>
  <c r="AK89"/>
  <c r="AK64"/>
  <c r="D20" i="5"/>
  <c r="AZ40" i="7"/>
  <c r="AY25"/>
  <c r="AK74" i="4"/>
  <c r="BM36" i="7"/>
  <c r="AI119" i="4"/>
  <c r="C75" i="5"/>
  <c r="AM114" i="4"/>
  <c r="AK93"/>
  <c r="T66" i="7"/>
  <c r="AJ74" i="4"/>
  <c r="AJ91"/>
  <c r="V77" i="5"/>
  <c r="AJ119" i="4"/>
  <c r="AK76"/>
  <c r="X25" i="7"/>
  <c r="AJ93" i="4"/>
  <c r="BI60" i="7"/>
  <c r="AK94" i="4"/>
  <c r="AC66" i="7"/>
  <c r="AM118" i="4"/>
  <c r="AM70"/>
  <c r="AL61"/>
  <c r="I17" i="5"/>
  <c r="Y20" i="7"/>
  <c r="AM58" i="4"/>
  <c r="AL118"/>
  <c r="I74" i="5"/>
  <c r="AK108" i="4"/>
  <c r="D64" i="5"/>
  <c r="AJ118" i="4"/>
  <c r="AM56"/>
  <c r="V84" i="5"/>
  <c r="AM80" i="4"/>
  <c r="AM122"/>
  <c r="V150" i="5"/>
  <c r="Q95"/>
  <c r="AK62" i="4"/>
  <c r="AM107"/>
  <c r="AK116"/>
  <c r="D72" i="5"/>
  <c r="K96" i="7"/>
  <c r="AK90" i="4"/>
  <c r="L64" i="5"/>
  <c r="O90" i="7"/>
  <c r="AL85" i="4"/>
  <c r="I41" i="5"/>
  <c r="AM64" i="4"/>
  <c r="U20" i="5"/>
  <c r="AJ108" i="4"/>
  <c r="AL60"/>
  <c r="I16" i="5"/>
  <c r="AM100" i="4"/>
  <c r="AJ100"/>
  <c r="AJ82"/>
  <c r="V117" i="5"/>
  <c r="AI66" i="4"/>
  <c r="C22" i="5"/>
  <c r="BM25" i="7"/>
  <c r="AL55" i="4"/>
  <c r="AQ30" i="7"/>
  <c r="BD15"/>
  <c r="AL89" i="4"/>
  <c r="AL63"/>
  <c r="I19" i="5"/>
  <c r="AQ20" i="7"/>
  <c r="F20"/>
  <c r="AM117" i="4"/>
  <c r="V145" i="5"/>
  <c r="AL79" i="4"/>
  <c r="I35" i="5"/>
  <c r="AQ60" i="7"/>
  <c r="AI92" i="4"/>
  <c r="AJ70"/>
  <c r="U98" i="5"/>
  <c r="AK59" i="4"/>
  <c r="BR60" i="7"/>
  <c r="AJ89" i="4"/>
  <c r="AJ84"/>
  <c r="AI86"/>
  <c r="C42" i="5"/>
  <c r="AK71" i="4"/>
  <c r="Q27" i="5"/>
  <c r="AM59" i="4"/>
  <c r="AM110"/>
  <c r="V138" i="5"/>
  <c r="AL102" i="4"/>
  <c r="I58" i="5"/>
  <c r="AL51" i="4"/>
  <c r="AL56"/>
  <c r="AK100"/>
  <c r="D56" i="5"/>
  <c r="AL111" i="4"/>
  <c r="I67" i="5"/>
  <c r="AK102" i="4"/>
  <c r="D58" i="5"/>
  <c r="Q58"/>
  <c r="AL119" i="4"/>
  <c r="I75" i="5"/>
  <c r="AP96" i="7"/>
  <c r="AJ92" i="4"/>
  <c r="U120" i="5"/>
  <c r="AK66" i="4"/>
  <c r="D22" i="5"/>
  <c r="AK120" i="4"/>
  <c r="D76" i="5"/>
  <c r="AK61" i="4"/>
  <c r="AK104"/>
  <c r="AU76" i="7"/>
  <c r="AJ64" i="4"/>
  <c r="U92" i="5"/>
  <c r="AL94" i="4"/>
  <c r="I50" i="5"/>
  <c r="AG66" i="7"/>
  <c r="AJ114" i="4"/>
  <c r="AL72"/>
  <c r="Q100" i="5"/>
  <c r="BH26" i="7"/>
  <c r="AK52" i="4"/>
  <c r="K16" i="7"/>
  <c r="AL96" i="4"/>
  <c r="I52" i="5"/>
  <c r="AY66" i="7"/>
  <c r="AM88" i="4"/>
  <c r="AJ104"/>
  <c r="AK78"/>
  <c r="Q34" i="5"/>
  <c r="AN121" i="4"/>
  <c r="J77" i="5"/>
  <c r="BH95" i="7"/>
  <c r="AL53" i="4"/>
  <c r="Y30" i="7"/>
  <c r="AJ78" i="4"/>
  <c r="AM60"/>
  <c r="O25" i="7"/>
  <c r="AM65" i="4"/>
  <c r="U21" i="5"/>
  <c r="AM68" i="4"/>
  <c r="U24" i="5"/>
  <c r="AM108" i="4"/>
  <c r="V136" i="5"/>
  <c r="AL107" i="4"/>
  <c r="I63" i="5"/>
  <c r="F86" i="7"/>
  <c r="AJ85" i="4"/>
  <c r="AJ76"/>
  <c r="AN122"/>
  <c r="J78" i="5"/>
  <c r="AL113" i="4"/>
  <c r="I69" i="5"/>
  <c r="AG30" i="7"/>
  <c r="AJ109" i="4"/>
  <c r="Q111" i="5"/>
  <c r="AL104" i="4"/>
  <c r="I60" i="5"/>
  <c r="Q132"/>
  <c r="AN108" i="4"/>
  <c r="J64" i="5"/>
  <c r="AL84" i="4"/>
  <c r="I40" i="5"/>
  <c r="AK68" i="4"/>
  <c r="D24" i="5"/>
  <c r="K36" i="7"/>
  <c r="AM62" i="4"/>
  <c r="V90" i="5"/>
  <c r="Q41"/>
  <c r="AL108" i="4"/>
  <c r="I64" i="5"/>
  <c r="AI102" i="4"/>
  <c r="C58" i="5"/>
  <c r="AC75" i="7"/>
  <c r="AK73" i="4"/>
  <c r="BD36" i="7"/>
  <c r="AJ63" i="4"/>
  <c r="V19" i="5"/>
  <c r="AM63" i="4"/>
  <c r="T56" i="7"/>
  <c r="AI63" i="4"/>
  <c r="C19" i="5"/>
  <c r="AL25" i="7"/>
  <c r="AI106" i="4"/>
  <c r="C62" i="5"/>
  <c r="BM75" i="7"/>
  <c r="AN107" i="4"/>
  <c r="J63" i="5"/>
  <c r="V15"/>
  <c r="AN68" i="4"/>
  <c r="J24" i="5"/>
  <c r="O35" i="7"/>
  <c r="AI73" i="4"/>
  <c r="BD35" i="7"/>
  <c r="Q87" i="5"/>
  <c r="AK114" i="4"/>
  <c r="D70" i="5"/>
  <c r="AL68" i="4"/>
  <c r="I24" i="5"/>
  <c r="O36" i="7"/>
  <c r="AJ116" i="4"/>
  <c r="AL69"/>
  <c r="Q97" i="5"/>
  <c r="AM111" i="4"/>
  <c r="U67" i="5"/>
  <c r="AM54" i="4"/>
  <c r="U10" i="5"/>
  <c r="AL62" i="4"/>
  <c r="I18" i="5"/>
  <c r="Q90"/>
  <c r="AI52" i="4"/>
  <c r="AM79"/>
  <c r="AK80"/>
  <c r="AJ68"/>
  <c r="U96" i="5"/>
  <c r="AJ57" i="4"/>
  <c r="AK122"/>
  <c r="D78" i="5"/>
  <c r="BM96" i="7"/>
  <c r="AL115" i="4"/>
  <c r="I71" i="5"/>
  <c r="F96" i="7"/>
  <c r="Q72" i="5"/>
  <c r="U9"/>
  <c r="V81"/>
  <c r="AN109" i="4"/>
  <c r="J65" i="5"/>
  <c r="Q65"/>
  <c r="AI88" i="4"/>
  <c r="AY70" i="7"/>
  <c r="Q131" i="5"/>
  <c r="AL54" i="4"/>
  <c r="AL76"/>
  <c r="I32" i="5"/>
  <c r="O46" i="7"/>
  <c r="AK57" i="4"/>
  <c r="BD16" i="7"/>
  <c r="AM98" i="4"/>
  <c r="Q10" i="5"/>
  <c r="AM102" i="4"/>
  <c r="V13" i="5"/>
  <c r="U85"/>
  <c r="AJ54" i="4"/>
  <c r="AM119"/>
  <c r="U75" i="5"/>
  <c r="X26" i="7"/>
  <c r="AL74" i="4"/>
  <c r="BQ36" i="7"/>
  <c r="AM120" i="4"/>
  <c r="AI116"/>
  <c r="C72" i="5"/>
  <c r="K95" i="7"/>
  <c r="AM90" i="4"/>
  <c r="U46" i="5"/>
  <c r="AK106" i="4"/>
  <c r="D62" i="5"/>
  <c r="BM76" i="7"/>
  <c r="AJ75" i="4"/>
  <c r="V31" i="5"/>
  <c r="AK53" i="4"/>
  <c r="T16" i="7"/>
  <c r="AJ71" i="4"/>
  <c r="Q93" i="5"/>
  <c r="AK95" i="4"/>
  <c r="Q51" i="5"/>
  <c r="AM67" i="4"/>
  <c r="V8" i="5"/>
  <c r="U80"/>
  <c r="Q149"/>
  <c r="AN111" i="4"/>
  <c r="J67" i="5"/>
  <c r="Q67"/>
  <c r="AM78" i="4"/>
  <c r="V106" i="5"/>
  <c r="AM93" i="4"/>
  <c r="U49" i="5"/>
  <c r="AK72" i="4"/>
  <c r="Q28" i="5"/>
  <c r="F70" i="7"/>
  <c r="AK88" i="4"/>
  <c r="Q126" i="5"/>
  <c r="Q60"/>
  <c r="AJ94" i="4"/>
  <c r="V50" i="5"/>
  <c r="AJ95" i="4"/>
  <c r="V51" i="5"/>
  <c r="AJ83" i="4"/>
  <c r="AJ53"/>
  <c r="U81" i="5"/>
  <c r="BD85" i="7"/>
  <c r="L77" i="5"/>
  <c r="BH100" i="7"/>
  <c r="AL86" i="4"/>
  <c r="I42" i="5"/>
  <c r="Q114"/>
  <c r="AM72" i="4"/>
  <c r="AU15" i="7"/>
  <c r="AY40"/>
  <c r="V96" i="5"/>
  <c r="V29"/>
  <c r="U101"/>
  <c r="Q98"/>
  <c r="AK115" i="4"/>
  <c r="D71" i="5"/>
  <c r="B96" i="7"/>
  <c r="AI115" i="4"/>
  <c r="C71" i="5"/>
  <c r="B95" i="7"/>
  <c r="AP76"/>
  <c r="U38" i="5"/>
  <c r="V110"/>
  <c r="AL100" i="4"/>
  <c r="I56" i="5"/>
  <c r="AK99" i="4"/>
  <c r="D55" i="5"/>
  <c r="AL88" i="4"/>
  <c r="AZ50" i="7"/>
  <c r="AK65" i="4"/>
  <c r="D21" i="5"/>
  <c r="Q21"/>
  <c r="AK103" i="4"/>
  <c r="D59" i="5"/>
  <c r="AJ99" i="4"/>
  <c r="V55" i="5"/>
  <c r="Q54"/>
  <c r="AK75" i="4"/>
  <c r="AL75"/>
  <c r="I31" i="5"/>
  <c r="F46" i="7"/>
  <c r="AJ107" i="4"/>
  <c r="V63" i="5"/>
  <c r="AK107" i="4"/>
  <c r="D63" i="5"/>
  <c r="M71"/>
  <c r="G100" i="7"/>
  <c r="AK70" i="4"/>
  <c r="AC36" i="7"/>
  <c r="BM16"/>
  <c r="Q14" i="5"/>
  <c r="U88"/>
  <c r="V16"/>
  <c r="U140"/>
  <c r="V68"/>
  <c r="Q50"/>
  <c r="AK83" i="4"/>
  <c r="D39" i="5"/>
  <c r="G70" i="7"/>
  <c r="AL91" i="4"/>
  <c r="Q119" i="5"/>
  <c r="AM86" i="4"/>
  <c r="AG55" i="7"/>
  <c r="AG50"/>
  <c r="AL120" i="4"/>
  <c r="I76" i="5"/>
  <c r="AY96" i="7"/>
  <c r="AJ67" i="4"/>
  <c r="AK67"/>
  <c r="D23" i="5"/>
  <c r="U15"/>
  <c r="V87"/>
  <c r="AN80" i="4"/>
  <c r="J36" i="5"/>
  <c r="Q36"/>
  <c r="AL80" i="4"/>
  <c r="I36" i="5"/>
  <c r="Q73"/>
  <c r="T96" i="7"/>
  <c r="AI58" i="4"/>
  <c r="AJ58"/>
  <c r="AI79"/>
  <c r="AK79"/>
  <c r="AI60"/>
  <c r="K25" i="7"/>
  <c r="AK60" i="4"/>
  <c r="AI117"/>
  <c r="C73" i="5"/>
  <c r="T95" i="7"/>
  <c r="AJ117" i="4"/>
  <c r="AJ79"/>
  <c r="L78" i="5"/>
  <c r="BQ100" i="7"/>
  <c r="BM85"/>
  <c r="AJ77" i="4"/>
  <c r="AK77"/>
  <c r="T46" i="7"/>
  <c r="AM69" i="4"/>
  <c r="AN69"/>
  <c r="X35" i="7"/>
  <c r="AL117" i="4"/>
  <c r="I73" i="5"/>
  <c r="V18"/>
  <c r="U90"/>
  <c r="AM115" i="4"/>
  <c r="AL93"/>
  <c r="I49" i="5"/>
  <c r="A37"/>
  <c r="Q109"/>
  <c r="AN66" i="4"/>
  <c r="J22" i="5"/>
  <c r="Q22"/>
  <c r="AL66" i="4"/>
  <c r="I22" i="5"/>
  <c r="Q94"/>
  <c r="AM66" i="4"/>
  <c r="AI112"/>
  <c r="C68" i="5"/>
  <c r="Q140"/>
  <c r="AK112" i="4"/>
  <c r="D68" i="5"/>
  <c r="U47"/>
  <c r="V119"/>
  <c r="BQ15" i="7"/>
  <c r="BQ30"/>
  <c r="AM103" i="4"/>
  <c r="U19" i="5"/>
  <c r="V91"/>
  <c r="V108"/>
  <c r="U36"/>
  <c r="Q124"/>
  <c r="U73"/>
  <c r="AY85" i="7"/>
  <c r="AY80"/>
  <c r="V120" i="5"/>
  <c r="U48"/>
  <c r="V78"/>
  <c r="U150"/>
  <c r="V36"/>
  <c r="U108"/>
  <c r="Q76"/>
  <c r="AU96" i="7"/>
  <c r="AZ80"/>
  <c r="AY86"/>
  <c r="U13" i="5"/>
  <c r="V85"/>
  <c r="BQ35" i="7"/>
  <c r="Q30" i="5"/>
  <c r="X40" i="7"/>
  <c r="T15"/>
  <c r="U89" i="5"/>
  <c r="V17"/>
  <c r="V125"/>
  <c r="U53"/>
  <c r="O50" i="7"/>
  <c r="O55"/>
  <c r="AH80"/>
  <c r="AG86"/>
  <c r="V107" i="5"/>
  <c r="U35"/>
  <c r="X85" i="7"/>
  <c r="U116" i="5"/>
  <c r="V44"/>
  <c r="Q89"/>
  <c r="BH30" i="7"/>
  <c r="BH15"/>
  <c r="Q13" i="5"/>
  <c r="Q49"/>
  <c r="Q77"/>
  <c r="AC55" i="7"/>
  <c r="AG70"/>
  <c r="BI30"/>
  <c r="BH16"/>
  <c r="Q85" i="5"/>
  <c r="V135"/>
  <c r="U63"/>
  <c r="V144"/>
  <c r="U72"/>
  <c r="U144"/>
  <c r="V72"/>
  <c r="U146"/>
  <c r="V74"/>
  <c r="L73"/>
  <c r="X100" i="7"/>
  <c r="T85"/>
  <c r="P50"/>
  <c r="O56"/>
  <c r="U99" i="5"/>
  <c r="V27"/>
  <c r="AG80" i="7"/>
  <c r="AG85"/>
  <c r="AP46"/>
  <c r="Y80"/>
  <c r="X86"/>
  <c r="Q137" i="5"/>
  <c r="F16" i="7"/>
  <c r="G30"/>
  <c r="BI50"/>
  <c r="BH56"/>
  <c r="U143" i="5"/>
  <c r="V71"/>
  <c r="AH70" i="7"/>
  <c r="Q42" i="5"/>
  <c r="AC56" i="7"/>
  <c r="U102" i="5"/>
  <c r="V30"/>
  <c r="X15" i="7"/>
  <c r="X30"/>
  <c r="M75" i="5"/>
  <c r="AQ100" i="7"/>
  <c r="AL86"/>
  <c r="F85"/>
  <c r="F80"/>
  <c r="O96"/>
  <c r="V56" i="5"/>
  <c r="U128"/>
  <c r="U137"/>
  <c r="V65"/>
  <c r="U91"/>
  <c r="V137"/>
  <c r="U65"/>
  <c r="V79"/>
  <c r="U7"/>
  <c r="AP86" i="7"/>
  <c r="AQ80"/>
  <c r="Q139" i="5"/>
  <c r="Y40" i="7"/>
  <c r="T26"/>
  <c r="V42" i="5"/>
  <c r="U114"/>
  <c r="Q91"/>
  <c r="AP36" i="7"/>
  <c r="Q99" i="5"/>
  <c r="L75"/>
  <c r="AP100" i="7"/>
  <c r="AL85"/>
  <c r="O60"/>
  <c r="O45"/>
  <c r="AY50"/>
  <c r="AY55"/>
  <c r="Q56" i="5"/>
  <c r="K76" i="7"/>
  <c r="T86"/>
  <c r="M73" i="5"/>
  <c r="Y100" i="7"/>
  <c r="AQ40"/>
  <c r="AL26"/>
  <c r="Q19" i="5"/>
  <c r="V103"/>
  <c r="U31"/>
  <c r="F15" i="7"/>
  <c r="F30"/>
  <c r="Q17" i="5"/>
  <c r="V126"/>
  <c r="U54"/>
  <c r="V139"/>
  <c r="V109"/>
  <c r="U37"/>
  <c r="AH20" i="7"/>
  <c r="AG26"/>
  <c r="U27" i="5"/>
  <c r="V99"/>
  <c r="U34"/>
  <c r="V148"/>
  <c r="U76"/>
  <c r="AY56" i="7"/>
  <c r="BR50"/>
  <c r="BQ56"/>
  <c r="F60"/>
  <c r="F45"/>
  <c r="V89" i="5"/>
  <c r="U17"/>
  <c r="V124"/>
  <c r="U52"/>
  <c r="U121"/>
  <c r="V49"/>
  <c r="BH60" i="7"/>
  <c r="BH45"/>
  <c r="V122" i="5"/>
  <c r="U50"/>
  <c r="AG20" i="7"/>
  <c r="AG25"/>
  <c r="Q18" i="5"/>
  <c r="M61"/>
  <c r="BI80" i="7"/>
  <c r="Q141" i="5"/>
  <c r="BH86" i="7"/>
  <c r="Q123" i="5"/>
  <c r="AP66" i="7"/>
  <c r="Q106" i="5"/>
  <c r="AG46" i="7"/>
  <c r="AH60"/>
  <c r="V121" i="5"/>
  <c r="U113"/>
  <c r="V41"/>
  <c r="U44"/>
  <c r="V116"/>
  <c r="U129"/>
  <c r="V57"/>
  <c r="U119"/>
  <c r="V47"/>
  <c r="L71"/>
  <c r="F100" i="7"/>
  <c r="B85"/>
  <c r="Q128" i="5"/>
  <c r="V128"/>
  <c r="U56"/>
  <c r="V104"/>
  <c r="U32"/>
  <c r="U58"/>
  <c r="V130"/>
  <c r="U131"/>
  <c r="V59"/>
  <c r="U77"/>
  <c r="V149"/>
  <c r="U68"/>
  <c r="V140"/>
  <c r="V123"/>
  <c r="U51"/>
  <c r="AG45" i="7"/>
  <c r="AG60"/>
  <c r="V102" i="5"/>
  <c r="U30"/>
  <c r="Q31"/>
  <c r="B46" i="7"/>
  <c r="V28" i="5"/>
  <c r="U100"/>
  <c r="O40" i="7"/>
  <c r="K15"/>
  <c r="U93" i="5"/>
  <c r="V21"/>
  <c r="BQ50" i="7"/>
  <c r="BQ55"/>
  <c r="AG75"/>
  <c r="L66" i="5"/>
  <c r="AG90" i="7"/>
  <c r="B66"/>
  <c r="Q47" i="5"/>
  <c r="U111"/>
  <c r="V39"/>
  <c r="AU56" i="7"/>
  <c r="Q44" i="5"/>
  <c r="AZ70" i="7"/>
  <c r="U69" i="5"/>
  <c r="V141"/>
  <c r="U148"/>
  <c r="V76"/>
  <c r="V54"/>
  <c r="U126"/>
  <c r="Q102"/>
  <c r="U40"/>
  <c r="V112"/>
  <c r="AG76" i="7"/>
  <c r="M66" i="5"/>
  <c r="AH90" i="7"/>
  <c r="AP45"/>
  <c r="AP60"/>
  <c r="AU55"/>
  <c r="AU46"/>
  <c r="U8" i="5"/>
  <c r="V80"/>
  <c r="T36" i="7"/>
  <c r="X50"/>
  <c r="X55"/>
  <c r="Q37" i="5"/>
  <c r="BD46" i="7"/>
  <c r="U118" i="5"/>
  <c r="V46"/>
  <c r="Q115"/>
  <c r="AQ50" i="7"/>
  <c r="AP56"/>
  <c r="U97" i="5"/>
  <c r="V25"/>
  <c r="U60"/>
  <c r="V132"/>
  <c r="V113"/>
  <c r="U41"/>
  <c r="V7"/>
  <c r="U79"/>
  <c r="V105"/>
  <c r="U33"/>
  <c r="K55" i="7"/>
  <c r="O70"/>
  <c r="Q112" i="5"/>
  <c r="Q127"/>
  <c r="M63"/>
  <c r="G90" i="7"/>
  <c r="F76"/>
  <c r="BM45"/>
  <c r="Q110" i="5"/>
  <c r="U136"/>
  <c r="V64"/>
  <c r="L70"/>
  <c r="BQ90" i="7"/>
  <c r="BQ75"/>
  <c r="U16" i="5"/>
  <c r="V88"/>
  <c r="AP70" i="7"/>
  <c r="AL55"/>
  <c r="U130" i="5"/>
  <c r="V58"/>
  <c r="U109"/>
  <c r="V37"/>
  <c r="Q46"/>
  <c r="BR70" i="7"/>
  <c r="BM56"/>
  <c r="AP50"/>
  <c r="AP55"/>
  <c r="Q53" i="5"/>
  <c r="BD66" i="7"/>
  <c r="Q105" i="5"/>
  <c r="Y60" i="7"/>
  <c r="X46"/>
  <c r="Q40" i="5"/>
  <c r="P70" i="7"/>
  <c r="K56"/>
  <c r="L63" i="5"/>
  <c r="F90" i="7"/>
  <c r="F75"/>
  <c r="O30"/>
  <c r="O15"/>
  <c r="Q8" i="5"/>
  <c r="V38"/>
  <c r="U110"/>
  <c r="Q55"/>
  <c r="B76" i="7"/>
  <c r="Q84" i="5"/>
  <c r="AY16" i="7"/>
  <c r="AZ30"/>
  <c r="Q83" i="5"/>
  <c r="V129"/>
  <c r="U57"/>
  <c r="Q92"/>
  <c r="AY26" i="7"/>
  <c r="AZ20"/>
  <c r="Q150" i="5"/>
  <c r="BQ96" i="7"/>
  <c r="U127" i="5"/>
  <c r="Q69"/>
  <c r="M77"/>
  <c r="BI100" i="7"/>
  <c r="BD86"/>
  <c r="Q75" i="5"/>
  <c r="AL96" i="7"/>
  <c r="Q48" i="5"/>
  <c r="K66" i="7"/>
  <c r="Q12" i="5"/>
  <c r="AU16" i="7"/>
  <c r="BD65"/>
  <c r="Q125" i="5"/>
  <c r="BD55" i="7"/>
  <c r="BH70"/>
  <c r="Q117" i="5"/>
  <c r="BQ95" i="7"/>
  <c r="Q61" i="5"/>
  <c r="BD76" i="7"/>
  <c r="Q80" i="5"/>
  <c r="O16" i="7"/>
  <c r="P30"/>
  <c r="L74" i="5"/>
  <c r="AG100" i="7"/>
  <c r="AC85"/>
  <c r="Q138" i="5"/>
  <c r="V83"/>
  <c r="U11"/>
  <c r="V101"/>
  <c r="U29"/>
  <c r="Q129"/>
  <c r="M65"/>
  <c r="Y90" i="7"/>
  <c r="X76"/>
  <c r="U141" i="5"/>
  <c r="V69"/>
  <c r="AL95" i="7"/>
  <c r="Q147" i="5"/>
  <c r="X60" i="7"/>
  <c r="X45"/>
  <c r="U55" i="5"/>
  <c r="V127"/>
  <c r="AP15" i="7"/>
  <c r="AP30"/>
  <c r="Q11" i="5"/>
  <c r="X75" i="7"/>
  <c r="L65" i="5"/>
  <c r="X90" i="7"/>
  <c r="Q57" i="5"/>
  <c r="BH75" i="7"/>
  <c r="L69" i="5"/>
  <c r="BH90" i="7"/>
  <c r="U147" i="5"/>
  <c r="V75"/>
  <c r="K65" i="7"/>
  <c r="Q120" i="5"/>
  <c r="Q32"/>
  <c r="K46" i="7"/>
  <c r="BQ85"/>
  <c r="L62" i="5"/>
  <c r="BQ80" i="7"/>
  <c r="Q45" i="5"/>
  <c r="BI70" i="7"/>
  <c r="BD56"/>
  <c r="O85"/>
  <c r="O80"/>
  <c r="U78" i="5"/>
  <c r="Q70"/>
  <c r="M78"/>
  <c r="BR100" i="7"/>
  <c r="BM86"/>
  <c r="V66" i="5"/>
  <c r="U138"/>
  <c r="Q52"/>
  <c r="AU66" i="7"/>
  <c r="Q101" i="5"/>
  <c r="BH36" i="7"/>
  <c r="V12" i="5"/>
  <c r="U84"/>
  <c r="V133"/>
  <c r="U61"/>
  <c r="U14"/>
  <c r="V86"/>
  <c r="U104"/>
  <c r="V32"/>
  <c r="V142"/>
  <c r="U70"/>
  <c r="V60"/>
  <c r="U132"/>
  <c r="U117"/>
  <c r="V45"/>
  <c r="Q136"/>
  <c r="P80" i="7"/>
  <c r="O86"/>
  <c r="Q146" i="5"/>
  <c r="AG96" i="7"/>
  <c r="U133" i="5"/>
  <c r="V61"/>
  <c r="U142"/>
  <c r="V70"/>
  <c r="Q66"/>
  <c r="M74"/>
  <c r="AH100" i="7"/>
  <c r="AC86"/>
  <c r="U124" i="5"/>
  <c r="V52"/>
  <c r="BH35" i="7"/>
  <c r="U125" i="5"/>
  <c r="V53"/>
  <c r="AY30" i="7"/>
  <c r="AY15"/>
  <c r="Q15" i="5"/>
  <c r="B26" i="7"/>
  <c r="G40"/>
  <c r="Q133" i="5"/>
  <c r="M69"/>
  <c r="BI90" i="7"/>
  <c r="BH76"/>
  <c r="Q86" i="5"/>
  <c r="BR30" i="7"/>
  <c r="BQ16"/>
  <c r="AY75"/>
  <c r="L68" i="5"/>
  <c r="AY90" i="7"/>
  <c r="Q113" i="5"/>
  <c r="X56" i="7"/>
  <c r="Y50"/>
  <c r="Q142" i="5"/>
  <c r="BQ86" i="7"/>
  <c r="M62" i="5"/>
  <c r="BR80" i="7"/>
  <c r="B15"/>
  <c r="F40"/>
  <c r="Q79" i="5"/>
  <c r="BM26" i="7"/>
  <c r="BR40"/>
  <c r="Q64" i="5"/>
  <c r="K86" i="7"/>
  <c r="M72" i="5"/>
  <c r="P100" i="7"/>
  <c r="Q134" i="5"/>
  <c r="BQ76" i="7"/>
  <c r="M70" i="5"/>
  <c r="BR90" i="7"/>
  <c r="Q43" i="5"/>
  <c r="AL56" i="7"/>
  <c r="AQ70"/>
  <c r="BQ70"/>
  <c r="BM55"/>
  <c r="Q118" i="5"/>
  <c r="V115"/>
  <c r="U43"/>
  <c r="AY76" i="7"/>
  <c r="Q7" i="5"/>
  <c r="B16" i="7"/>
  <c r="V34" i="5"/>
  <c r="U106"/>
  <c r="V40"/>
  <c r="U112"/>
  <c r="U74"/>
  <c r="V146"/>
  <c r="U94"/>
  <c r="V22"/>
  <c r="Q38"/>
  <c r="BM46" i="7"/>
  <c r="K85"/>
  <c r="L72" i="5"/>
  <c r="O100" i="7"/>
  <c r="V134" i="5"/>
  <c r="U62"/>
  <c r="P20" i="7"/>
  <c r="O26"/>
  <c r="U115" i="5"/>
  <c r="V43"/>
  <c r="G80" i="7"/>
  <c r="X36"/>
  <c r="Q9" i="5"/>
  <c r="Q16"/>
  <c r="Q20"/>
  <c r="Q23"/>
  <c r="Q24"/>
  <c r="V9"/>
  <c r="V10"/>
  <c r="U12"/>
  <c r="V14"/>
  <c r="U18"/>
  <c r="V20"/>
  <c r="U22"/>
  <c r="U23"/>
  <c r="V23"/>
  <c r="V24"/>
  <c r="Q25"/>
  <c r="U25"/>
  <c r="Q26"/>
  <c r="U26"/>
  <c r="V26"/>
  <c r="U28"/>
  <c r="Q29"/>
  <c r="Q33"/>
  <c r="V33"/>
  <c r="Q35"/>
  <c r="V35"/>
  <c r="Q39"/>
  <c r="U42"/>
  <c r="V48"/>
  <c r="Q59"/>
  <c r="U59"/>
  <c r="Q62"/>
  <c r="Q63"/>
  <c r="U64"/>
  <c r="U66"/>
  <c r="V67"/>
  <c r="Q68"/>
  <c r="Q71"/>
  <c r="U71"/>
  <c r="V73"/>
  <c r="Q74"/>
  <c r="Q78"/>
  <c r="Q81"/>
  <c r="Q82"/>
  <c r="U82"/>
  <c r="V82"/>
  <c r="U86"/>
  <c r="Q88"/>
  <c r="V92"/>
  <c r="V93"/>
  <c r="V94"/>
  <c r="U95"/>
  <c r="V95"/>
  <c r="Q96"/>
  <c r="V97"/>
  <c r="V98"/>
  <c r="V100"/>
  <c r="Q103"/>
  <c r="U103"/>
  <c r="Q104"/>
  <c r="U105"/>
  <c r="Q107"/>
  <c r="U107"/>
  <c r="Q108"/>
  <c r="V114"/>
  <c r="Q116"/>
  <c r="V118"/>
  <c r="Q121"/>
  <c r="Q122"/>
  <c r="U122"/>
  <c r="U123"/>
  <c r="Q130"/>
  <c r="V131"/>
  <c r="Q135"/>
  <c r="U135"/>
  <c r="Q143"/>
  <c r="V143"/>
  <c r="Q144"/>
  <c r="Q145"/>
  <c r="U145"/>
  <c r="V147"/>
  <c r="Q148"/>
  <c r="AC76" i="7"/>
  <c r="AC46"/>
  <c r="AU26"/>
  <c r="AL36"/>
  <c r="AP26"/>
  <c r="M68" i="5"/>
  <c r="AZ90" i="7"/>
  <c r="AY36"/>
  <c r="P60"/>
  <c r="AP16"/>
  <c r="X16"/>
  <c r="AC26"/>
  <c r="AH40"/>
  <c r="B86"/>
  <c r="X80"/>
  <c r="AL66"/>
  <c r="AG56"/>
  <c r="AH50"/>
  <c r="F66"/>
  <c r="BI40"/>
  <c r="AH30"/>
  <c r="AG16"/>
  <c r="AU36"/>
  <c r="AP80"/>
  <c r="AP85"/>
  <c r="G60"/>
  <c r="BD26"/>
  <c r="AL76"/>
  <c r="B56"/>
  <c r="O76"/>
  <c r="M64" i="5"/>
  <c r="P90" i="7"/>
  <c r="BQ20"/>
  <c r="BQ25"/>
  <c r="P40"/>
  <c r="K26"/>
  <c r="AZ60"/>
  <c r="AY46"/>
  <c r="X66"/>
  <c r="AY45"/>
  <c r="AY60"/>
  <c r="AU86"/>
  <c r="M76" i="5"/>
  <c r="AZ100" i="7"/>
  <c r="AL46"/>
  <c r="L76" i="5"/>
  <c r="AY100" i="7"/>
  <c r="AU85"/>
  <c r="AL45"/>
  <c r="BR20"/>
  <c r="BQ26"/>
  <c r="X96"/>
  <c r="BQ40"/>
  <c r="BM15"/>
  <c r="B36"/>
  <c r="BQ20" i="1"/>
  <c r="AG20" i="2"/>
  <c r="BE10"/>
  <c r="BA26"/>
  <c r="AI30"/>
  <c r="BR27" i="1"/>
  <c r="AE42" i="2"/>
  <c r="BM27" i="1"/>
  <c r="BR26"/>
  <c r="BC27" i="2"/>
  <c r="BR21" i="1"/>
  <c r="BM28"/>
  <c r="AH27"/>
  <c r="BP10"/>
  <c r="AE26" i="2"/>
  <c r="AG40"/>
  <c r="BN27" i="1"/>
  <c r="BP29"/>
  <c r="BM29"/>
  <c r="AI20" i="2"/>
  <c r="BC17"/>
  <c r="AI15"/>
  <c r="N28" i="1"/>
  <c r="AE32" i="2"/>
  <c r="BN17" i="1"/>
  <c r="BQ11"/>
  <c r="BB26"/>
  <c r="BA21" i="2"/>
  <c r="K22"/>
  <c r="BM18" i="1"/>
  <c r="AE21" i="2"/>
  <c r="BP11" i="1"/>
  <c r="BN31"/>
  <c r="BE20" i="2"/>
  <c r="BE21"/>
  <c r="BG21"/>
  <c r="BI21"/>
  <c r="BK21"/>
  <c r="BC20"/>
  <c r="BC22"/>
  <c r="BL21"/>
  <c r="BM21"/>
  <c r="BG20"/>
  <c r="BI20"/>
  <c r="BK20"/>
  <c r="BA22"/>
  <c r="BL20"/>
  <c r="BM20"/>
  <c r="BG22"/>
  <c r="BI22"/>
  <c r="BK22"/>
  <c r="BL22"/>
  <c r="BM22"/>
  <c r="BN21"/>
  <c r="BC10"/>
  <c r="BB20" i="1"/>
  <c r="BP20"/>
  <c r="F29"/>
  <c r="BM20"/>
  <c r="BO10"/>
  <c r="BM13"/>
  <c r="AR18"/>
  <c r="M25" i="2"/>
  <c r="BQ17" i="1"/>
  <c r="BE31" i="2"/>
  <c r="CR31" i="1"/>
  <c r="BC25" i="2"/>
  <c r="N29" i="1"/>
  <c r="BQ10"/>
  <c r="BR9"/>
  <c r="BO30"/>
  <c r="BA32" i="2"/>
  <c r="BE26"/>
  <c r="BE35"/>
  <c r="BA12"/>
  <c r="CR10" i="1"/>
  <c r="BO16"/>
  <c r="AI26" i="2"/>
  <c r="BO28" i="1"/>
  <c r="BR20"/>
  <c r="N30"/>
  <c r="BN7"/>
  <c r="I11" i="2"/>
  <c r="BN11" i="1"/>
  <c r="BC32" i="2"/>
  <c r="F28" i="1"/>
  <c r="AE6" i="2"/>
  <c r="BC37"/>
  <c r="BM26" i="1"/>
  <c r="BC40" i="2"/>
  <c r="AR17" i="1"/>
  <c r="BM19"/>
  <c r="BE36" i="2"/>
  <c r="AG25"/>
  <c r="AG32"/>
  <c r="BN9" i="1"/>
  <c r="BP6"/>
  <c r="BE15" i="2"/>
  <c r="BA17"/>
  <c r="BG17"/>
  <c r="BI17"/>
  <c r="BK17"/>
  <c r="BE16"/>
  <c r="BL17"/>
  <c r="BM17"/>
  <c r="BC15"/>
  <c r="BG15"/>
  <c r="BI15"/>
  <c r="BK15"/>
  <c r="BA16"/>
  <c r="BL15"/>
  <c r="BM15"/>
  <c r="BG16"/>
  <c r="BI16"/>
  <c r="BK16"/>
  <c r="BL16"/>
  <c r="BM16"/>
  <c r="BN17"/>
  <c r="BQ21" i="1"/>
  <c r="BO11"/>
  <c r="BR8"/>
  <c r="X31"/>
  <c r="BQ16"/>
  <c r="BM17"/>
  <c r="X28"/>
  <c r="M41" i="2"/>
  <c r="BA27"/>
  <c r="BR10" i="1"/>
  <c r="BO9"/>
  <c r="AH31"/>
  <c r="N31"/>
  <c r="F31"/>
  <c r="J31"/>
  <c r="T31"/>
  <c r="AD31"/>
  <c r="AN31"/>
  <c r="AP31"/>
  <c r="I22" i="2"/>
  <c r="BM21" i="1"/>
  <c r="BP16"/>
  <c r="BQ7"/>
  <c r="AG42" i="2"/>
  <c r="I27"/>
  <c r="BO27" i="1"/>
  <c r="BQ31"/>
  <c r="M15" i="2"/>
  <c r="BO20" i="1"/>
  <c r="M40" i="2"/>
  <c r="O42"/>
  <c r="BR19" i="1"/>
  <c r="I21" i="2"/>
  <c r="K20"/>
  <c r="AI41"/>
  <c r="BP30" i="1"/>
  <c r="BQ9"/>
  <c r="M26" i="2"/>
  <c r="BM11" i="1"/>
  <c r="M10" i="2"/>
  <c r="K27"/>
  <c r="AG37"/>
  <c r="BQ18" i="1"/>
  <c r="BO17"/>
  <c r="M31" i="2"/>
  <c r="BO29" i="1"/>
  <c r="AR21"/>
  <c r="BO19"/>
  <c r="AI16" i="2"/>
  <c r="AP17"/>
  <c r="BP27" i="1"/>
  <c r="AR19"/>
  <c r="BO18"/>
  <c r="BQ28"/>
  <c r="BR16"/>
  <c r="BB21"/>
  <c r="J21"/>
  <c r="T21"/>
  <c r="AD21"/>
  <c r="AN21"/>
  <c r="AX21"/>
  <c r="BH21"/>
  <c r="BM16"/>
  <c r="BN16"/>
  <c r="AI21" i="2"/>
  <c r="K37"/>
  <c r="AR27" i="1"/>
  <c r="BE11" i="2"/>
  <c r="BL12"/>
  <c r="I31"/>
  <c r="I32"/>
  <c r="T30"/>
  <c r="AI25"/>
  <c r="BM31" i="1"/>
  <c r="BP31"/>
  <c r="BM8"/>
  <c r="M11" i="2"/>
  <c r="BN28" i="1"/>
  <c r="BR29"/>
  <c r="BP26"/>
  <c r="BQ8"/>
  <c r="BP28"/>
  <c r="BN6"/>
  <c r="BQ19"/>
  <c r="K25" i="2"/>
  <c r="BO31" i="1"/>
  <c r="BE5" i="2"/>
  <c r="X29" i="1"/>
  <c r="AE41" i="2"/>
  <c r="AP40"/>
  <c r="AG5"/>
  <c r="M36"/>
  <c r="M30"/>
  <c r="AI31"/>
  <c r="CP31" i="1"/>
  <c r="BA31" i="2"/>
  <c r="BA41"/>
  <c r="BO21" i="1"/>
  <c r="BO6"/>
  <c r="K17" i="2"/>
  <c r="K35"/>
  <c r="K7"/>
  <c r="AI5"/>
  <c r="AI35"/>
  <c r="AL36"/>
  <c r="AG7"/>
  <c r="BN12" i="1"/>
  <c r="AH30"/>
  <c r="AR32"/>
  <c r="AV32"/>
  <c r="J13"/>
  <c r="I17" i="2"/>
  <c r="BO8" i="1"/>
  <c r="I6" i="2"/>
  <c r="M5"/>
  <c r="I7"/>
  <c r="P7"/>
  <c r="BB29" i="1"/>
  <c r="BE40" i="2"/>
  <c r="M16"/>
  <c r="BA11"/>
  <c r="BN32" i="1"/>
  <c r="BQ33"/>
  <c r="BM23"/>
  <c r="K40" i="2"/>
  <c r="BE6"/>
  <c r="AG35"/>
  <c r="AP36"/>
  <c r="BA42"/>
  <c r="BM22" i="1"/>
  <c r="BB27"/>
  <c r="J6"/>
  <c r="T6"/>
  <c r="AD6"/>
  <c r="AF6"/>
  <c r="I12" i="2"/>
  <c r="T10"/>
  <c r="M6"/>
  <c r="AE12"/>
  <c r="AG17"/>
  <c r="BR13" i="1"/>
  <c r="AE31" i="2"/>
  <c r="BC42"/>
  <c r="I26"/>
  <c r="F30" i="1"/>
  <c r="BB19"/>
  <c r="AW19"/>
  <c r="BG19"/>
  <c r="I16" i="2"/>
  <c r="O16"/>
  <c r="BP32" i="1"/>
  <c r="BQ32"/>
  <c r="AR23"/>
  <c r="BP19"/>
  <c r="BB16"/>
  <c r="BN19"/>
  <c r="BQ26"/>
  <c r="BE25" i="2"/>
  <c r="BH25"/>
  <c r="AR20" i="1"/>
  <c r="BP7"/>
  <c r="BN8"/>
  <c r="BQ30"/>
  <c r="BR30"/>
  <c r="BM6"/>
  <c r="I36" i="2"/>
  <c r="M21"/>
  <c r="BA36"/>
  <c r="K12"/>
  <c r="J9" i="1"/>
  <c r="K15" i="2"/>
  <c r="AH29" i="1"/>
  <c r="AG12" i="2"/>
  <c r="AE16"/>
  <c r="AG10"/>
  <c r="BB30" i="1"/>
  <c r="BE30"/>
  <c r="BO12"/>
  <c r="F33"/>
  <c r="BN26"/>
  <c r="BO13"/>
  <c r="BA7" i="2"/>
  <c r="AJ16" i="1"/>
  <c r="AG15" i="2"/>
  <c r="AH26" i="1"/>
  <c r="AJ26"/>
  <c r="BQ13"/>
  <c r="F32"/>
  <c r="BR6"/>
  <c r="AR22"/>
  <c r="AT22"/>
  <c r="BN23"/>
  <c r="BQ27"/>
  <c r="BQ6"/>
  <c r="BN21"/>
  <c r="AR26"/>
  <c r="BP21"/>
  <c r="BO26"/>
  <c r="BO7"/>
  <c r="BP9"/>
  <c r="AR31"/>
  <c r="BE41" i="2"/>
  <c r="AE17"/>
  <c r="BN18" i="1"/>
  <c r="AR16"/>
  <c r="BM30"/>
  <c r="BA37" i="2"/>
  <c r="AE11"/>
  <c r="BN29" i="1"/>
  <c r="AE7" i="2"/>
  <c r="K5"/>
  <c r="K32"/>
  <c r="P32"/>
  <c r="I41"/>
  <c r="AI6"/>
  <c r="BC12"/>
  <c r="AI36"/>
  <c r="BP33" i="1"/>
  <c r="X32"/>
  <c r="BP23"/>
  <c r="BP12"/>
  <c r="BR23"/>
  <c r="H23"/>
  <c r="BN20"/>
  <c r="BM32"/>
  <c r="BB31"/>
  <c r="H31"/>
  <c r="P31"/>
  <c r="R31"/>
  <c r="Z31"/>
  <c r="AB31"/>
  <c r="AJ31"/>
  <c r="AL31"/>
  <c r="AV31"/>
  <c r="BF31"/>
  <c r="BR7"/>
  <c r="BR11"/>
  <c r="AR30"/>
  <c r="BP18"/>
  <c r="BQ29"/>
  <c r="BR17"/>
  <c r="BB28"/>
  <c r="BE28"/>
  <c r="BR31"/>
  <c r="K10" i="2"/>
  <c r="O10"/>
  <c r="AI40"/>
  <c r="M20"/>
  <c r="P20"/>
  <c r="BC35"/>
  <c r="AR29" i="1"/>
  <c r="I37" i="2"/>
  <c r="BP13" i="1"/>
  <c r="M35" i="2"/>
  <c r="P37"/>
  <c r="J7" i="1"/>
  <c r="L7"/>
  <c r="AH28"/>
  <c r="BM7"/>
  <c r="BO22"/>
  <c r="X26"/>
  <c r="BN10"/>
  <c r="N27"/>
  <c r="P27"/>
  <c r="BC7" i="2"/>
  <c r="BB23" i="1"/>
  <c r="BE23"/>
  <c r="AR28"/>
  <c r="I28"/>
  <c r="Q28"/>
  <c r="S28"/>
  <c r="AA28"/>
  <c r="AC28"/>
  <c r="AK28"/>
  <c r="AM28"/>
  <c r="AW28"/>
  <c r="BP17"/>
  <c r="BR22"/>
  <c r="BB32"/>
  <c r="BJ32"/>
  <c r="CD13"/>
  <c r="BQ22"/>
  <c r="F26"/>
  <c r="H26"/>
  <c r="AG22" i="2"/>
  <c r="AE37"/>
  <c r="CP10" i="1"/>
  <c r="F27"/>
  <c r="J27"/>
  <c r="BM9"/>
  <c r="BO23"/>
  <c r="AJ20"/>
  <c r="BA6" i="2"/>
  <c r="T23" i="1"/>
  <c r="BO32"/>
  <c r="BR33"/>
  <c r="BQ12"/>
  <c r="AH33"/>
  <c r="BR28"/>
  <c r="N33"/>
  <c r="P33"/>
  <c r="BC30" i="2"/>
  <c r="N26" i="1"/>
  <c r="H16"/>
  <c r="P16"/>
  <c r="R16"/>
  <c r="Z16"/>
  <c r="AB16"/>
  <c r="BP8"/>
  <c r="AL23"/>
  <c r="BM33"/>
  <c r="BN30"/>
  <c r="AR33"/>
  <c r="AZ33"/>
  <c r="AG30" i="2"/>
  <c r="AI11"/>
  <c r="K42"/>
  <c r="K30"/>
  <c r="P30"/>
  <c r="BB18" i="1"/>
  <c r="J18"/>
  <c r="T18"/>
  <c r="AD18"/>
  <c r="AN18"/>
  <c r="AX18"/>
  <c r="BH18"/>
  <c r="BJ18"/>
  <c r="I42" i="2"/>
  <c r="X27" i="1"/>
  <c r="T27"/>
  <c r="AD27"/>
  <c r="AF27"/>
  <c r="AE27" i="2"/>
  <c r="AP25"/>
  <c r="AI10"/>
  <c r="AL12"/>
  <c r="AE22"/>
  <c r="X33" i="1"/>
  <c r="AA33"/>
  <c r="BM10"/>
  <c r="BB33"/>
  <c r="BH33"/>
  <c r="BP22"/>
  <c r="BR12"/>
  <c r="N32"/>
  <c r="Q32"/>
  <c r="X30"/>
  <c r="Z30"/>
  <c r="BN33"/>
  <c r="BM12"/>
  <c r="BE30" i="2"/>
  <c r="BH30"/>
  <c r="AE36"/>
  <c r="BC5"/>
  <c r="BB22" i="1"/>
  <c r="BE22"/>
  <c r="AG27" i="2"/>
  <c r="AP26"/>
  <c r="BN22" i="1"/>
  <c r="BQ23"/>
  <c r="AH32"/>
  <c r="AN32"/>
  <c r="BB17"/>
  <c r="J17"/>
  <c r="T17"/>
  <c r="AD17"/>
  <c r="AN17"/>
  <c r="AX17"/>
  <c r="BH17"/>
  <c r="BJ17"/>
  <c r="BR32"/>
  <c r="BR18"/>
  <c r="BV18"/>
  <c r="BN13"/>
  <c r="BU13"/>
  <c r="BO33"/>
  <c r="CD23"/>
  <c r="CO31"/>
  <c r="AK30" i="2"/>
  <c r="AK31"/>
  <c r="AM31"/>
  <c r="AO31"/>
  <c r="AL31"/>
  <c r="AK32"/>
  <c r="AM32"/>
  <c r="AO32"/>
  <c r="AP32"/>
  <c r="AQ32"/>
  <c r="AM30"/>
  <c r="AO30"/>
  <c r="AP30"/>
  <c r="AQ30"/>
  <c r="AP31"/>
  <c r="AQ31"/>
  <c r="AR32"/>
  <c r="AR30"/>
  <c r="AL30"/>
  <c r="AL32"/>
  <c r="AR31"/>
  <c r="AP41"/>
  <c r="J11" i="1"/>
  <c r="T11"/>
  <c r="AD11"/>
  <c r="AF11"/>
  <c r="CM10"/>
  <c r="H20"/>
  <c r="J20"/>
  <c r="L20"/>
  <c r="J23"/>
  <c r="H28"/>
  <c r="J28"/>
  <c r="L28"/>
  <c r="AU21"/>
  <c r="AW21"/>
  <c r="H21"/>
  <c r="P21"/>
  <c r="R21"/>
  <c r="Z21"/>
  <c r="AB21"/>
  <c r="AJ21"/>
  <c r="AL21"/>
  <c r="AV21"/>
  <c r="AT21"/>
  <c r="AZ21"/>
  <c r="BL37" i="2"/>
  <c r="BN36"/>
  <c r="BH37"/>
  <c r="BK37"/>
  <c r="BG35"/>
  <c r="BN37"/>
  <c r="BG37"/>
  <c r="BH35"/>
  <c r="BH36"/>
  <c r="BN35"/>
  <c r="BK36"/>
  <c r="BG36"/>
  <c r="BI36"/>
  <c r="BK35"/>
  <c r="H17" i="1"/>
  <c r="P17"/>
  <c r="R17"/>
  <c r="Z17"/>
  <c r="AB17"/>
  <c r="AJ17"/>
  <c r="AL17"/>
  <c r="AV17"/>
  <c r="AW17"/>
  <c r="AZ17"/>
  <c r="AU17"/>
  <c r="AT17"/>
  <c r="BD21"/>
  <c r="BL40" i="2"/>
  <c r="P28" i="1"/>
  <c r="R28"/>
  <c r="Z28"/>
  <c r="AB28"/>
  <c r="T28"/>
  <c r="AD28"/>
  <c r="AF28"/>
  <c r="T21" i="2"/>
  <c r="J10" i="1"/>
  <c r="T10"/>
  <c r="AD10"/>
  <c r="AN10"/>
  <c r="AP10"/>
  <c r="AX13"/>
  <c r="AZ13"/>
  <c r="BL7" i="2"/>
  <c r="BG6"/>
  <c r="BI6"/>
  <c r="BK6"/>
  <c r="BG7"/>
  <c r="BI7"/>
  <c r="BK7"/>
  <c r="BG5"/>
  <c r="BI5"/>
  <c r="BK5"/>
  <c r="BH7"/>
  <c r="BH5"/>
  <c r="BH6"/>
  <c r="BL6"/>
  <c r="BM6"/>
  <c r="BL5"/>
  <c r="BM5"/>
  <c r="BM7"/>
  <c r="BN6"/>
  <c r="BN5"/>
  <c r="BN7"/>
  <c r="Z20" i="1"/>
  <c r="AP11" i="2"/>
  <c r="BF23" i="1"/>
  <c r="BJ23"/>
  <c r="I32"/>
  <c r="H32"/>
  <c r="J32"/>
  <c r="L32"/>
  <c r="P26"/>
  <c r="AX10"/>
  <c r="AZ10"/>
  <c r="P20"/>
  <c r="BL25" i="2"/>
  <c r="CQ6" i="1"/>
  <c r="I31"/>
  <c r="Q31"/>
  <c r="S31"/>
  <c r="AA31"/>
  <c r="AC31"/>
  <c r="AF31"/>
  <c r="AK17" i="2"/>
  <c r="AM17"/>
  <c r="AK16"/>
  <c r="AO17"/>
  <c r="AL15"/>
  <c r="AM16"/>
  <c r="AO16"/>
  <c r="AP16"/>
  <c r="AQ16"/>
  <c r="AK15"/>
  <c r="AM15"/>
  <c r="AO15"/>
  <c r="AP15"/>
  <c r="AQ15"/>
  <c r="AQ17"/>
  <c r="AR16"/>
  <c r="AR15"/>
  <c r="AR17"/>
  <c r="AL17"/>
  <c r="AL16"/>
  <c r="BJ12" i="1"/>
  <c r="BH12"/>
  <c r="Z18"/>
  <c r="P30"/>
  <c r="Q30"/>
  <c r="AW16"/>
  <c r="BG16"/>
  <c r="AL16"/>
  <c r="AV16"/>
  <c r="BF16"/>
  <c r="J16"/>
  <c r="T16"/>
  <c r="AD16"/>
  <c r="AN16"/>
  <c r="AX16"/>
  <c r="BH16"/>
  <c r="BJ16"/>
  <c r="BE16"/>
  <c r="BD16"/>
  <c r="BG27" i="2"/>
  <c r="R20" i="1"/>
  <c r="AB20"/>
  <c r="AL20"/>
  <c r="AV20"/>
  <c r="T20"/>
  <c r="AD20"/>
  <c r="AN20"/>
  <c r="AX20"/>
  <c r="AZ20"/>
  <c r="AT20"/>
  <c r="AW20"/>
  <c r="AU20"/>
  <c r="J8"/>
  <c r="T8"/>
  <c r="AD8"/>
  <c r="AN8"/>
  <c r="AP8"/>
  <c r="AF12"/>
  <c r="AD12"/>
  <c r="L31"/>
  <c r="CN6"/>
  <c r="I30"/>
  <c r="S30"/>
  <c r="H30"/>
  <c r="J30"/>
  <c r="L30"/>
  <c r="J22"/>
  <c r="L22"/>
  <c r="H22"/>
  <c r="AX8"/>
  <c r="BH8"/>
  <c r="BJ8"/>
  <c r="BE29"/>
  <c r="H29"/>
  <c r="P29"/>
  <c r="R29"/>
  <c r="Z29"/>
  <c r="AB29"/>
  <c r="AJ29"/>
  <c r="AL29"/>
  <c r="AV29"/>
  <c r="BF29"/>
  <c r="BD29"/>
  <c r="I29"/>
  <c r="Q29"/>
  <c r="S29"/>
  <c r="AA29"/>
  <c r="AC29"/>
  <c r="AK29"/>
  <c r="AM29"/>
  <c r="AW29"/>
  <c r="BG29"/>
  <c r="J29"/>
  <c r="T29"/>
  <c r="AD29"/>
  <c r="AN29"/>
  <c r="AX29"/>
  <c r="BH29"/>
  <c r="BJ29"/>
  <c r="BU11"/>
  <c r="BT11"/>
  <c r="BV11"/>
  <c r="T7"/>
  <c r="AD7"/>
  <c r="AN7"/>
  <c r="AX7"/>
  <c r="BH7"/>
  <c r="BJ7"/>
  <c r="AP13"/>
  <c r="AN13"/>
  <c r="AN6"/>
  <c r="AX6"/>
  <c r="AZ6"/>
  <c r="BL41" i="2"/>
  <c r="Z19" i="1"/>
  <c r="P42" i="2"/>
  <c r="O40"/>
  <c r="S42"/>
  <c r="S41"/>
  <c r="S40"/>
  <c r="V42"/>
  <c r="V40"/>
  <c r="T42"/>
  <c r="V41"/>
  <c r="O41"/>
  <c r="BT19" i="1"/>
  <c r="BV19"/>
  <c r="BU19"/>
  <c r="O11" i="2"/>
  <c r="Q11"/>
  <c r="S11"/>
  <c r="T12"/>
  <c r="P11"/>
  <c r="R26" i="1"/>
  <c r="Z26"/>
  <c r="AB26"/>
  <c r="AL26"/>
  <c r="AV26"/>
  <c r="BF26"/>
  <c r="J26"/>
  <c r="T26"/>
  <c r="AD26"/>
  <c r="AN26"/>
  <c r="AX26"/>
  <c r="BH26"/>
  <c r="I26"/>
  <c r="Q26"/>
  <c r="S26"/>
  <c r="AA26"/>
  <c r="AC26"/>
  <c r="AK26"/>
  <c r="AM26"/>
  <c r="AW26"/>
  <c r="BG26"/>
  <c r="BJ26"/>
  <c r="BD26"/>
  <c r="BE26"/>
  <c r="AZ12"/>
  <c r="AX12"/>
  <c r="BH10"/>
  <c r="BJ10"/>
  <c r="AN11"/>
  <c r="AX11"/>
  <c r="AZ11"/>
  <c r="T26" i="2"/>
  <c r="AL7"/>
  <c r="AK5"/>
  <c r="AM5"/>
  <c r="AO5"/>
  <c r="AK7"/>
  <c r="AM7"/>
  <c r="AL6"/>
  <c r="AK6"/>
  <c r="AM6"/>
  <c r="AO7"/>
  <c r="AL5"/>
  <c r="AO6"/>
  <c r="AP6"/>
  <c r="AQ6"/>
  <c r="AP5"/>
  <c r="AQ5"/>
  <c r="AP7"/>
  <c r="AQ7"/>
  <c r="AR6"/>
  <c r="AR5"/>
  <c r="AR7"/>
  <c r="AW18" i="1"/>
  <c r="AU18"/>
  <c r="AZ18"/>
  <c r="AT18"/>
  <c r="H18"/>
  <c r="P18"/>
  <c r="R18"/>
  <c r="AB18"/>
  <c r="AJ18"/>
  <c r="AL18"/>
  <c r="AV18"/>
  <c r="T16" i="2"/>
  <c r="AJ19" i="1"/>
  <c r="O37" i="2"/>
  <c r="AK30" i="1"/>
  <c r="AJ30"/>
  <c r="R30"/>
  <c r="AB30"/>
  <c r="AL30"/>
  <c r="AA30"/>
  <c r="AC30"/>
  <c r="AM30"/>
  <c r="T30"/>
  <c r="AD30"/>
  <c r="AN30"/>
  <c r="AP30"/>
  <c r="BE27"/>
  <c r="BD27"/>
  <c r="H27"/>
  <c r="R27"/>
  <c r="Z27"/>
  <c r="AB27"/>
  <c r="AJ27"/>
  <c r="AL27"/>
  <c r="AV27"/>
  <c r="BF27"/>
  <c r="I27"/>
  <c r="Q27"/>
  <c r="S27"/>
  <c r="AA27"/>
  <c r="AC27"/>
  <c r="AK27"/>
  <c r="AM27"/>
  <c r="AW27"/>
  <c r="BG27"/>
  <c r="AN27"/>
  <c r="AX27"/>
  <c r="BH27"/>
  <c r="BJ27"/>
  <c r="BH6"/>
  <c r="BJ6"/>
  <c r="L18"/>
  <c r="O25" i="2"/>
  <c r="P25"/>
  <c r="L29" i="1"/>
  <c r="AF7"/>
  <c r="T36" i="2"/>
  <c r="L17" i="1"/>
  <c r="BL11" i="2"/>
  <c r="AL22"/>
  <c r="AK21"/>
  <c r="AK20"/>
  <c r="AM20"/>
  <c r="AO20"/>
  <c r="AL20"/>
  <c r="AK22"/>
  <c r="AP22"/>
  <c r="AL21"/>
  <c r="AM21"/>
  <c r="AO21"/>
  <c r="AM22"/>
  <c r="AO22"/>
  <c r="AP21"/>
  <c r="AQ21"/>
  <c r="AP20"/>
  <c r="AQ20"/>
  <c r="AQ22"/>
  <c r="AR21"/>
  <c r="AR22"/>
  <c r="AR20"/>
  <c r="BU28" i="1"/>
  <c r="BV28"/>
  <c r="BT28"/>
  <c r="BF20"/>
  <c r="BH20"/>
  <c r="BJ20"/>
  <c r="BD20"/>
  <c r="BE20"/>
  <c r="BG20"/>
  <c r="AZ26"/>
  <c r="AT26"/>
  <c r="AU26"/>
  <c r="AK31"/>
  <c r="AM31"/>
  <c r="AW31"/>
  <c r="AX31"/>
  <c r="AZ31"/>
  <c r="AU31"/>
  <c r="AT31"/>
  <c r="CP6"/>
  <c r="AZ16"/>
  <c r="AT16"/>
  <c r="AU16"/>
  <c r="BT30"/>
  <c r="BU30"/>
  <c r="AP10" i="2"/>
  <c r="AP11" i="1"/>
  <c r="AP7"/>
  <c r="CO6"/>
  <c r="CR6"/>
  <c r="AF29"/>
  <c r="AJ28"/>
  <c r="AN28"/>
  <c r="AL28"/>
  <c r="AP28"/>
  <c r="AT28"/>
  <c r="AU28"/>
  <c r="AV28"/>
  <c r="AX28"/>
  <c r="AZ28"/>
  <c r="J33"/>
  <c r="H33"/>
  <c r="L33"/>
  <c r="I33"/>
  <c r="AF26"/>
  <c r="H19"/>
  <c r="P19"/>
  <c r="R19"/>
  <c r="AB19"/>
  <c r="AL19"/>
  <c r="AV19"/>
  <c r="J19"/>
  <c r="T19"/>
  <c r="AD19"/>
  <c r="AN19"/>
  <c r="AX19"/>
  <c r="AZ19"/>
  <c r="AU19"/>
  <c r="AT19"/>
  <c r="L11"/>
  <c r="AK26" i="2"/>
  <c r="AM26"/>
  <c r="AL26"/>
  <c r="AL25"/>
  <c r="AK25"/>
  <c r="AM25"/>
  <c r="AO25"/>
  <c r="AK27"/>
  <c r="AP27"/>
  <c r="AM27"/>
  <c r="AO27"/>
  <c r="AL27"/>
  <c r="AO26"/>
  <c r="AQ26"/>
  <c r="AQ25"/>
  <c r="AQ27"/>
  <c r="AR26"/>
  <c r="AR27"/>
  <c r="AR25"/>
  <c r="AF13" i="1"/>
  <c r="AD13"/>
  <c r="BJ13"/>
  <c r="BH13"/>
  <c r="L16"/>
  <c r="CM31"/>
  <c r="AE19" i="2"/>
  <c r="AU27" i="1"/>
  <c r="AT27"/>
  <c r="AZ27"/>
  <c r="L19"/>
  <c r="BG22"/>
  <c r="BH22" i="2"/>
  <c r="BH21"/>
  <c r="BH20"/>
  <c r="T9" i="1"/>
  <c r="AD9"/>
  <c r="AN9"/>
  <c r="AX9"/>
  <c r="BH9"/>
  <c r="BJ9"/>
  <c r="BN20" i="2"/>
  <c r="BN22"/>
  <c r="BG10"/>
  <c r="BI10"/>
  <c r="BK10"/>
  <c r="BG12"/>
  <c r="BI12"/>
  <c r="BK12"/>
  <c r="BH10"/>
  <c r="BH11"/>
  <c r="BH12"/>
  <c r="BG11"/>
  <c r="BI11"/>
  <c r="BK11"/>
  <c r="BM11"/>
  <c r="BL10"/>
  <c r="BM10"/>
  <c r="BM12"/>
  <c r="BN11"/>
  <c r="BN10"/>
  <c r="BN12"/>
  <c r="AP27" i="1"/>
  <c r="BH17" i="2"/>
  <c r="BH15"/>
  <c r="BH16"/>
  <c r="O15"/>
  <c r="Q15"/>
  <c r="S15"/>
  <c r="O17"/>
  <c r="Q17"/>
  <c r="S17"/>
  <c r="P15"/>
  <c r="T17"/>
  <c r="P17"/>
  <c r="P16"/>
  <c r="BH31" i="1"/>
  <c r="BJ31"/>
  <c r="BD31"/>
  <c r="BG31"/>
  <c r="BE31"/>
  <c r="AU30"/>
  <c r="AX30"/>
  <c r="AZ30"/>
  <c r="AV30"/>
  <c r="AW30"/>
  <c r="AT30"/>
  <c r="AZ8"/>
  <c r="BH11"/>
  <c r="BJ11"/>
  <c r="AL40" i="2"/>
  <c r="AL41"/>
  <c r="AO42"/>
  <c r="AR40"/>
  <c r="AK41"/>
  <c r="AO41"/>
  <c r="AL42"/>
  <c r="AK40"/>
  <c r="AM40"/>
  <c r="AO40"/>
  <c r="AK42"/>
  <c r="AM42"/>
  <c r="AP42"/>
  <c r="AR41"/>
  <c r="AR42"/>
  <c r="AZ9" i="1"/>
  <c r="AU29"/>
  <c r="AT29"/>
  <c r="AZ29"/>
  <c r="L8"/>
  <c r="CQ10"/>
  <c r="BG30"/>
  <c r="AJ22"/>
  <c r="J12"/>
  <c r="T12"/>
  <c r="V12"/>
  <c r="AX23"/>
  <c r="AU23"/>
  <c r="AT23"/>
  <c r="AW23"/>
  <c r="AZ23"/>
  <c r="AV23"/>
  <c r="BV30"/>
  <c r="BG23"/>
  <c r="Q16" i="2"/>
  <c r="S16"/>
  <c r="BV7" i="1"/>
  <c r="CD11"/>
  <c r="V26"/>
  <c r="R23"/>
  <c r="BG32"/>
  <c r="BH28"/>
  <c r="BJ28"/>
  <c r="T20" i="2"/>
  <c r="L9" i="1"/>
  <c r="AP6"/>
  <c r="O35" i="2"/>
  <c r="Q35"/>
  <c r="S35"/>
  <c r="AP16" i="1"/>
  <c r="BG26" i="2"/>
  <c r="BI26"/>
  <c r="BK26"/>
  <c r="T41"/>
  <c r="BT17" i="1"/>
  <c r="T6" i="2"/>
  <c r="BL35"/>
  <c r="P12"/>
  <c r="BH27"/>
  <c r="BL27"/>
  <c r="BD28" i="1"/>
  <c r="O30" i="2"/>
  <c r="P40"/>
  <c r="P41"/>
  <c r="V27" i="1"/>
  <c r="BE32"/>
  <c r="T15" i="2"/>
  <c r="BL26"/>
  <c r="BM26"/>
  <c r="BG25"/>
  <c r="BI25"/>
  <c r="BK25"/>
  <c r="BM25"/>
  <c r="BI27"/>
  <c r="BK27"/>
  <c r="BM27"/>
  <c r="BN26"/>
  <c r="BE21" i="1"/>
  <c r="BD30"/>
  <c r="BF30"/>
  <c r="L13"/>
  <c r="BN27" i="2"/>
  <c r="T22"/>
  <c r="BG28" i="1"/>
  <c r="AM32"/>
  <c r="P22" i="2"/>
  <c r="BF28" i="1"/>
  <c r="AJ32"/>
  <c r="O32" i="2"/>
  <c r="BD32" i="1"/>
  <c r="BN25" i="2"/>
  <c r="BF21" i="1"/>
  <c r="BH30"/>
  <c r="O22" i="2"/>
  <c r="Q22"/>
  <c r="S22"/>
  <c r="T31"/>
  <c r="BF32" i="1"/>
  <c r="BH26" i="2"/>
  <c r="BJ21" i="1"/>
  <c r="O20" i="2"/>
  <c r="P35"/>
  <c r="O7"/>
  <c r="BH32" i="1"/>
  <c r="BG21"/>
  <c r="BU23"/>
  <c r="O36" i="2"/>
  <c r="T7"/>
  <c r="BT31" i="1"/>
  <c r="O31" i="2"/>
  <c r="Q31"/>
  <c r="S31"/>
  <c r="U31"/>
  <c r="T27"/>
  <c r="P27"/>
  <c r="BJ30" i="1"/>
  <c r="V31"/>
  <c r="S32"/>
  <c r="V33"/>
  <c r="V28"/>
  <c r="V30"/>
  <c r="AK10" i="2"/>
  <c r="AK12"/>
  <c r="AM12"/>
  <c r="AO12"/>
  <c r="AP12"/>
  <c r="AQ12"/>
  <c r="AM10"/>
  <c r="AO10"/>
  <c r="AQ10"/>
  <c r="AK11"/>
  <c r="AM11"/>
  <c r="AO11"/>
  <c r="AQ11"/>
  <c r="AR12"/>
  <c r="AF17" i="1"/>
  <c r="V16"/>
  <c r="BU26"/>
  <c r="L12"/>
  <c r="AL10" i="2"/>
  <c r="BD22" i="1"/>
  <c r="T5" i="2"/>
  <c r="BH22" i="1"/>
  <c r="AU32"/>
  <c r="BT18"/>
  <c r="BG17"/>
  <c r="CD30"/>
  <c r="O12" i="2"/>
  <c r="P31"/>
  <c r="BJ22" i="1"/>
  <c r="AL11" i="2"/>
  <c r="P22" i="1"/>
  <c r="R22"/>
  <c r="P26" i="2"/>
  <c r="T32" i="1"/>
  <c r="V32"/>
  <c r="CD28"/>
  <c r="T22"/>
  <c r="V22"/>
  <c r="CM6"/>
  <c r="P32"/>
  <c r="R32"/>
  <c r="BV20"/>
  <c r="O6" i="2"/>
  <c r="Q6"/>
  <c r="S6"/>
  <c r="U6"/>
  <c r="BT29" i="1"/>
  <c r="O21" i="2"/>
  <c r="Q21"/>
  <c r="S21"/>
  <c r="O27"/>
  <c r="Q27"/>
  <c r="S27"/>
  <c r="U27"/>
  <c r="P6"/>
  <c r="P21"/>
  <c r="V6" i="1"/>
  <c r="AR10" i="2"/>
  <c r="AT33" i="1"/>
  <c r="BU20"/>
  <c r="BF22"/>
  <c r="AZ22"/>
  <c r="AR11" i="2"/>
  <c r="O26"/>
  <c r="BF19" i="1"/>
  <c r="O5" i="2"/>
  <c r="Q5"/>
  <c r="S5"/>
  <c r="BL13" i="1"/>
  <c r="BF18"/>
  <c r="T40" i="2"/>
  <c r="BT33" i="1"/>
  <c r="T35" i="2"/>
  <c r="U35"/>
  <c r="BT8" i="1"/>
  <c r="BT21"/>
  <c r="BT27"/>
  <c r="BG33"/>
  <c r="AW32"/>
  <c r="AW33"/>
  <c r="AM33"/>
  <c r="AC32"/>
  <c r="AC33"/>
  <c r="S33"/>
  <c r="I34"/>
  <c r="Q33"/>
  <c r="Q34"/>
  <c r="S34"/>
  <c r="AA32"/>
  <c r="AA34"/>
  <c r="AC34"/>
  <c r="AK32"/>
  <c r="AK33"/>
  <c r="AK34"/>
  <c r="AM34"/>
  <c r="AU33"/>
  <c r="AU34"/>
  <c r="AW34"/>
  <c r="BE33"/>
  <c r="BE34"/>
  <c r="BG34"/>
  <c r="BE18"/>
  <c r="BJ33"/>
  <c r="BV22"/>
  <c r="BT10"/>
  <c r="BV26"/>
  <c r="BV29"/>
  <c r="BI35" i="2"/>
  <c r="T13" i="1"/>
  <c r="AP32"/>
  <c r="BU29"/>
  <c r="AL32"/>
  <c r="AN23"/>
  <c r="BU12"/>
  <c r="V13"/>
  <c r="AP23"/>
  <c r="BU32"/>
  <c r="T25" i="2"/>
  <c r="BL36"/>
  <c r="CD9" i="1"/>
  <c r="V11"/>
  <c r="BE17"/>
  <c r="P36" i="2"/>
  <c r="P5"/>
  <c r="V29" i="1"/>
  <c r="P10" i="2"/>
  <c r="BU17" i="1"/>
  <c r="BT13"/>
  <c r="AV33"/>
  <c r="AL33"/>
  <c r="AB32"/>
  <c r="AB33"/>
  <c r="R33"/>
  <c r="H34"/>
  <c r="P34"/>
  <c r="R34"/>
  <c r="Z32"/>
  <c r="Z33"/>
  <c r="Z34"/>
  <c r="AB34"/>
  <c r="AJ33"/>
  <c r="AJ34"/>
  <c r="AL34"/>
  <c r="AT32"/>
  <c r="AT34"/>
  <c r="AV34"/>
  <c r="AF33"/>
  <c r="L26"/>
  <c r="V8"/>
  <c r="BF17"/>
  <c r="AD33"/>
  <c r="AX33"/>
  <c r="CD8"/>
  <c r="BG42" i="2"/>
  <c r="BI42"/>
  <c r="BG41"/>
  <c r="BH40"/>
  <c r="BK42"/>
  <c r="BH41"/>
  <c r="BN41"/>
  <c r="BK40"/>
  <c r="BK41"/>
  <c r="BL42"/>
  <c r="BH42"/>
  <c r="BN42"/>
  <c r="AX14" i="1"/>
  <c r="AZ7"/>
  <c r="AZ14"/>
  <c r="E32" i="3"/>
  <c r="CN31" i="1"/>
  <c r="T32" i="2"/>
  <c r="BV27" i="1"/>
  <c r="CD7"/>
  <c r="CD6"/>
  <c r="BV16"/>
  <c r="BU16"/>
  <c r="BT16"/>
  <c r="BV31"/>
  <c r="BU31"/>
  <c r="BT32"/>
  <c r="BT7"/>
  <c r="BU6"/>
  <c r="AD23"/>
  <c r="AF23"/>
  <c r="Z23"/>
  <c r="AB23"/>
  <c r="AP12"/>
  <c r="AN12"/>
  <c r="E24" i="3"/>
  <c r="AP29" i="1"/>
  <c r="CD29"/>
  <c r="AR36" i="2"/>
  <c r="AL35"/>
  <c r="AK35"/>
  <c r="AM35"/>
  <c r="AO37"/>
  <c r="AO36"/>
  <c r="AR35"/>
  <c r="AP37"/>
  <c r="AO35"/>
  <c r="AR37"/>
  <c r="AL37"/>
  <c r="AK36"/>
  <c r="AM36"/>
  <c r="Q10"/>
  <c r="S10"/>
  <c r="U10"/>
  <c r="T11"/>
  <c r="U11"/>
  <c r="Z22" i="1"/>
  <c r="H24"/>
  <c r="CD21"/>
  <c r="BU8"/>
  <c r="BV8"/>
  <c r="L10"/>
  <c r="AF32"/>
  <c r="BG40" i="2"/>
  <c r="BI40"/>
  <c r="BU7" i="1"/>
  <c r="CO10"/>
  <c r="AP35" i="2"/>
  <c r="BU9" i="1"/>
  <c r="BV9"/>
  <c r="AF18"/>
  <c r="AP26"/>
  <c r="CD26"/>
  <c r="BU21"/>
  <c r="BV21"/>
  <c r="CD10"/>
  <c r="BN40" i="2"/>
  <c r="AD32" i="1"/>
  <c r="AK37" i="2"/>
  <c r="AM37"/>
  <c r="AP9" i="1"/>
  <c r="BV17"/>
  <c r="BW17"/>
  <c r="BD19"/>
  <c r="CD31"/>
  <c r="BU27"/>
  <c r="BT20"/>
  <c r="AV22"/>
  <c r="AL22"/>
  <c r="AB22"/>
  <c r="P23"/>
  <c r="P24"/>
  <c r="R24"/>
  <c r="Z24"/>
  <c r="AB24"/>
  <c r="AJ23"/>
  <c r="AJ24"/>
  <c r="AL24"/>
  <c r="AT24"/>
  <c r="AV24"/>
  <c r="BT26"/>
  <c r="BD17"/>
  <c r="CD19"/>
  <c r="CD16"/>
  <c r="AX22"/>
  <c r="AX24"/>
  <c r="BF33"/>
  <c r="BE19"/>
  <c r="Q12" i="2"/>
  <c r="S12"/>
  <c r="U12"/>
  <c r="Q42"/>
  <c r="BG18" i="1"/>
  <c r="AZ32"/>
  <c r="AZ34"/>
  <c r="BU10"/>
  <c r="T37" i="2"/>
  <c r="AW22" i="1"/>
  <c r="AU22"/>
  <c r="AU24"/>
  <c r="AW24"/>
  <c r="V7"/>
  <c r="BV32"/>
  <c r="CN10"/>
  <c r="BD18"/>
  <c r="AX32"/>
  <c r="AX34"/>
  <c r="BI37" i="2"/>
  <c r="BU18" i="1"/>
  <c r="BW18"/>
  <c r="BD33"/>
  <c r="BD34"/>
  <c r="BH19"/>
  <c r="BJ19"/>
  <c r="BT6"/>
  <c r="CD20"/>
  <c r="BV6"/>
  <c r="BV13"/>
  <c r="AF16"/>
  <c r="T33"/>
  <c r="BL30" i="2"/>
  <c r="CD18" i="1"/>
  <c r="BL31" i="2"/>
  <c r="BH31"/>
  <c r="BG32"/>
  <c r="BI32"/>
  <c r="BK32"/>
  <c r="BL32"/>
  <c r="BM32"/>
  <c r="BG30"/>
  <c r="BI30"/>
  <c r="BK30"/>
  <c r="BM30"/>
  <c r="BG31"/>
  <c r="BI31"/>
  <c r="BK31"/>
  <c r="BM31"/>
  <c r="BN32"/>
  <c r="L27" i="1"/>
  <c r="BV10"/>
  <c r="CD33"/>
  <c r="CD32"/>
  <c r="BT22"/>
  <c r="CD27"/>
  <c r="CQ31"/>
  <c r="CD22"/>
  <c r="BV23"/>
  <c r="CD12"/>
  <c r="BV33"/>
  <c r="BV12"/>
  <c r="BU22"/>
  <c r="BU33"/>
  <c r="BH23"/>
  <c r="L23"/>
  <c r="AN33"/>
  <c r="BL23"/>
  <c r="BN30" i="2"/>
  <c r="AQ42"/>
  <c r="AF30" i="1"/>
  <c r="BD23"/>
  <c r="BT9"/>
  <c r="AP33"/>
  <c r="V23"/>
  <c r="CD17"/>
  <c r="BT12"/>
  <c r="BT23"/>
  <c r="BN15" i="2"/>
  <c r="BN31"/>
  <c r="BH32"/>
  <c r="AQ41"/>
  <c r="CC13" i="1"/>
  <c r="CE13"/>
  <c r="CF13"/>
  <c r="U22" i="2"/>
  <c r="BN16"/>
  <c r="U17"/>
  <c r="CC28" i="1"/>
  <c r="CE28"/>
  <c r="U42" i="2"/>
  <c r="BH14" i="1"/>
  <c r="BJ14"/>
  <c r="E26" i="3"/>
  <c r="CS6" i="1"/>
  <c r="BW29"/>
  <c r="BM37" i="2"/>
  <c r="J34" i="1"/>
  <c r="U41" i="2"/>
  <c r="BJ34" i="1"/>
  <c r="Q41" i="2"/>
  <c r="CA30" i="1"/>
  <c r="BW30"/>
  <c r="Q30" i="2"/>
  <c r="S30"/>
  <c r="U30"/>
  <c r="Q40"/>
  <c r="U40"/>
  <c r="BW11" i="1"/>
  <c r="CA11"/>
  <c r="Q37" i="2"/>
  <c r="S37"/>
  <c r="U15"/>
  <c r="BH34" i="1"/>
  <c r="U16" i="2"/>
  <c r="Q26"/>
  <c r="S26"/>
  <c r="U26"/>
  <c r="Q32"/>
  <c r="S32"/>
  <c r="H26" i="3"/>
  <c r="E28"/>
  <c r="Q7" i="2"/>
  <c r="S7"/>
  <c r="U7"/>
  <c r="AZ24" i="1"/>
  <c r="BI41" i="2"/>
  <c r="BM35"/>
  <c r="Q25"/>
  <c r="S25"/>
  <c r="CA28" i="1"/>
  <c r="BW28"/>
  <c r="BM36" i="2"/>
  <c r="Q20"/>
  <c r="S20"/>
  <c r="U20"/>
  <c r="H28" i="3"/>
  <c r="AM41" i="2"/>
  <c r="CA19" i="1"/>
  <c r="BW19"/>
  <c r="AQ40" i="2"/>
  <c r="Q36"/>
  <c r="S36"/>
  <c r="U36"/>
  <c r="V34" i="1"/>
  <c r="BF34"/>
  <c r="BD24"/>
  <c r="BF24"/>
  <c r="Q26" i="3"/>
  <c r="N32"/>
  <c r="V9" i="1"/>
  <c r="AF9"/>
  <c r="AF8"/>
  <c r="CA29"/>
  <c r="BE24"/>
  <c r="BG24"/>
  <c r="T26" i="3"/>
  <c r="K32"/>
  <c r="U5" i="2"/>
  <c r="V11"/>
  <c r="V17" i="1"/>
  <c r="BW26"/>
  <c r="AP17"/>
  <c r="V18"/>
  <c r="V5" i="2"/>
  <c r="L6" i="1"/>
  <c r="L14"/>
  <c r="AP14"/>
  <c r="AD22"/>
  <c r="AN22"/>
  <c r="AP22"/>
  <c r="U21" i="2"/>
  <c r="V20"/>
  <c r="BW13" i="1"/>
  <c r="J24"/>
  <c r="CA9"/>
  <c r="T34"/>
  <c r="V15" i="2"/>
  <c r="U32"/>
  <c r="V30"/>
  <c r="L34" i="1"/>
  <c r="AQ36" i="2"/>
  <c r="CA6" i="1"/>
  <c r="BW16"/>
  <c r="CS31"/>
  <c r="BW20"/>
  <c r="CD34"/>
  <c r="T16" i="3"/>
  <c r="BW32" i="1"/>
  <c r="CA16"/>
  <c r="CA26"/>
  <c r="AP34"/>
  <c r="CC27"/>
  <c r="CE27"/>
  <c r="CF27"/>
  <c r="BW31"/>
  <c r="CA23"/>
  <c r="BJ24"/>
  <c r="CC8"/>
  <c r="CE8"/>
  <c r="CF8"/>
  <c r="BW9"/>
  <c r="CA22"/>
  <c r="CA7"/>
  <c r="BL33"/>
  <c r="BW33"/>
  <c r="BH24"/>
  <c r="AI22" i="3"/>
  <c r="CA32" i="1"/>
  <c r="CA21"/>
  <c r="BW6"/>
  <c r="CA17"/>
  <c r="CD14"/>
  <c r="AF34"/>
  <c r="BM41" i="2"/>
  <c r="CA33" i="1"/>
  <c r="CA31"/>
  <c r="U25" i="2"/>
  <c r="V25"/>
  <c r="CA20" i="1"/>
  <c r="U37" i="2"/>
  <c r="V37"/>
  <c r="CC11" i="1"/>
  <c r="CE11"/>
  <c r="CA8"/>
  <c r="T24"/>
  <c r="BM42" i="2"/>
  <c r="CS10" i="1"/>
  <c r="AN14"/>
  <c r="BW21"/>
  <c r="BW7"/>
  <c r="AN34"/>
  <c r="CC9"/>
  <c r="CE9"/>
  <c r="CF9"/>
  <c r="BW27"/>
  <c r="CA10"/>
  <c r="H24" i="3"/>
  <c r="V27" i="2"/>
  <c r="V10"/>
  <c r="CA18" i="1"/>
  <c r="CA27"/>
  <c r="V6" i="2"/>
  <c r="BW8" i="1"/>
  <c r="V16" i="2"/>
  <c r="CA13" i="1"/>
  <c r="CC16"/>
  <c r="CE16"/>
  <c r="CF16"/>
  <c r="L21"/>
  <c r="L24"/>
  <c r="V20"/>
  <c r="CD24"/>
  <c r="AQ37" i="2"/>
  <c r="V19" i="1"/>
  <c r="V21"/>
  <c r="AQ35" i="2"/>
  <c r="CC7" i="1"/>
  <c r="CE7"/>
  <c r="CF7"/>
  <c r="CC29"/>
  <c r="CE29"/>
  <c r="CF29"/>
  <c r="CC26"/>
  <c r="CE26"/>
  <c r="CF26"/>
  <c r="V7" i="2"/>
  <c r="V12"/>
  <c r="J14" i="1"/>
  <c r="V17" i="2"/>
  <c r="AD34" i="1"/>
  <c r="AF10"/>
  <c r="V22" i="2"/>
  <c r="Q16" i="3"/>
  <c r="CC32" i="1"/>
  <c r="CE32"/>
  <c r="CF32"/>
  <c r="V35" i="2"/>
  <c r="V32"/>
  <c r="V31"/>
  <c r="BW10" i="1"/>
  <c r="CC31"/>
  <c r="CE31"/>
  <c r="CF31"/>
  <c r="BM40" i="2"/>
  <c r="CC12" i="1"/>
  <c r="CE12"/>
  <c r="CF12"/>
  <c r="H32" i="3"/>
  <c r="BW22" i="1"/>
  <c r="BW23"/>
  <c r="CC30"/>
  <c r="CE30"/>
  <c r="CF30"/>
  <c r="CC23"/>
  <c r="CE23"/>
  <c r="CA12"/>
  <c r="CC33"/>
  <c r="CE33"/>
  <c r="CF33"/>
  <c r="BW12"/>
  <c r="AE16" i="3"/>
  <c r="AI16"/>
  <c r="CF28" i="1"/>
  <c r="AI28" i="3"/>
  <c r="AE28"/>
  <c r="AE22"/>
  <c r="AD14" i="1"/>
  <c r="AF14"/>
  <c r="AF22"/>
  <c r="V26" i="2"/>
  <c r="V36"/>
  <c r="T22" i="3"/>
  <c r="K28"/>
  <c r="CC6" i="1"/>
  <c r="CE6"/>
  <c r="V21" i="2"/>
  <c r="BX23" i="1"/>
  <c r="CF11"/>
  <c r="CC17"/>
  <c r="CE17"/>
  <c r="CF17"/>
  <c r="BL27"/>
  <c r="CC22"/>
  <c r="CE22"/>
  <c r="CF22"/>
  <c r="BX9"/>
  <c r="BL31"/>
  <c r="T14"/>
  <c r="V10"/>
  <c r="Q22" i="3"/>
  <c r="N28"/>
  <c r="BL26" i="1"/>
  <c r="AF20"/>
  <c r="AP20"/>
  <c r="K16" i="3"/>
  <c r="H22"/>
  <c r="AF21" i="1"/>
  <c r="AP21"/>
  <c r="AP18"/>
  <c r="CC18"/>
  <c r="CE18"/>
  <c r="CF18"/>
  <c r="BL28"/>
  <c r="BL29"/>
  <c r="BL30"/>
  <c r="BL32"/>
  <c r="V24"/>
  <c r="AF19"/>
  <c r="AP19"/>
  <c r="AD24"/>
  <c r="BX12"/>
  <c r="BX8"/>
  <c r="BX13"/>
  <c r="BX7"/>
  <c r="CF23"/>
  <c r="BX28"/>
  <c r="BX30"/>
  <c r="BX17"/>
  <c r="BX21"/>
  <c r="BX20"/>
  <c r="BX29"/>
  <c r="BX18"/>
  <c r="CC34"/>
  <c r="BX31"/>
  <c r="BX6"/>
  <c r="BX27"/>
  <c r="BX22"/>
  <c r="BX33"/>
  <c r="BX10"/>
  <c r="BX19"/>
  <c r="BX11"/>
  <c r="BX26"/>
  <c r="BX32"/>
  <c r="BX16"/>
  <c r="CE34"/>
  <c r="CF34"/>
  <c r="N16" i="3"/>
  <c r="E22"/>
  <c r="E30"/>
  <c r="H30"/>
  <c r="K30"/>
  <c r="W28"/>
  <c r="CF6" i="1"/>
  <c r="AA16" i="3"/>
  <c r="CC20" i="1"/>
  <c r="CE20"/>
  <c r="CF20"/>
  <c r="CC21"/>
  <c r="CE21"/>
  <c r="CF21"/>
  <c r="CC10"/>
  <c r="V14"/>
  <c r="AF24"/>
  <c r="CC19"/>
  <c r="AN24"/>
  <c r="Q24" i="3"/>
  <c r="N30"/>
  <c r="AA28"/>
  <c r="AP24" i="1"/>
  <c r="CK8"/>
  <c r="CJ8"/>
  <c r="AE30" i="3"/>
  <c r="AJ28"/>
  <c r="AA22"/>
  <c r="W16"/>
  <c r="W22"/>
  <c r="AK28"/>
  <c r="CE19" i="1"/>
  <c r="CC24"/>
  <c r="CC14"/>
  <c r="CE10"/>
  <c r="CF19"/>
  <c r="CE24"/>
  <c r="CF10"/>
  <c r="CE14"/>
  <c r="CF14"/>
  <c r="BL8"/>
  <c r="BL6"/>
  <c r="BL7"/>
  <c r="BL9"/>
  <c r="BL10"/>
  <c r="BL12"/>
  <c r="BL11"/>
  <c r="BL20"/>
  <c r="BL19"/>
  <c r="BL18"/>
  <c r="BL17"/>
  <c r="BL22"/>
  <c r="CF24"/>
  <c r="BL21"/>
  <c r="BL16"/>
  <c r="AE18" i="3"/>
  <c r="AK16"/>
  <c r="AJ16"/>
  <c r="AE24"/>
  <c r="AK22"/>
  <c r="AJ22"/>
  <c r="CJ7" i="1"/>
  <c r="CK7"/>
  <c r="CK6"/>
  <c r="CJ6"/>
  <c r="CH6"/>
  <c r="CH8"/>
  <c r="CH7"/>
</calcChain>
</file>

<file path=xl/comments1.xml><?xml version="1.0" encoding="utf-8"?>
<comments xmlns="http://schemas.openxmlformats.org/spreadsheetml/2006/main">
  <authors>
    <author>河本　一典</author>
  </authors>
  <commentList>
    <comment ref="E6" authorId="0">
      <text>
        <r>
          <rPr>
            <sz val="9"/>
            <rFont val="ＭＳ Ｐゴシック"/>
            <family val="3"/>
            <charset val="134"/>
          </rPr>
          <t>HRは、英数半角で下記を入力
Ａ：Ａハイラン
B：Bハイラン
他：ポイント</t>
        </r>
      </text>
    </comment>
    <comment ref="H6" authorId="0">
      <text>
        <r>
          <rPr>
            <sz val="9"/>
            <rFont val="ＭＳ Ｐゴシック"/>
            <family val="3"/>
            <charset val="134"/>
          </rPr>
          <t xml:space="preserve">河本　一典:
</t>
        </r>
      </text>
    </comment>
  </commentList>
</comments>
</file>

<file path=xl/sharedStrings.xml><?xml version="1.0" encoding="utf-8"?>
<sst xmlns="http://schemas.openxmlformats.org/spreadsheetml/2006/main" count="1286" uniqueCount="377">
  <si>
    <t>対抗戦名称</t>
  </si>
  <si>
    <t>第</t>
  </si>
  <si>
    <t>回</t>
  </si>
  <si>
    <t>対抗戦</t>
  </si>
  <si>
    <t>開催日</t>
  </si>
  <si>
    <t>会場</t>
  </si>
  <si>
    <t>（</t>
  </si>
  <si>
    <t>）</t>
  </si>
  <si>
    <t>出場選手</t>
  </si>
  <si>
    <t>前回</t>
  </si>
  <si>
    <t>チーム</t>
  </si>
  <si>
    <t>順位</t>
  </si>
  <si>
    <t>選手名</t>
  </si>
  <si>
    <t>点数</t>
  </si>
  <si>
    <t>WRC</t>
  </si>
  <si>
    <t>HRC</t>
  </si>
  <si>
    <t>男性</t>
  </si>
  <si>
    <t>：</t>
  </si>
  <si>
    <t>M</t>
  </si>
  <si>
    <t>点</t>
  </si>
  <si>
    <t>女性</t>
  </si>
  <si>
    <t>W</t>
  </si>
  <si>
    <t>ＯＲＣ</t>
  </si>
  <si>
    <t xml:space="preserve"> </t>
  </si>
  <si>
    <t>印刷範囲の設定</t>
  </si>
  <si>
    <t>G-No</t>
  </si>
  <si>
    <t>T-No</t>
  </si>
  <si>
    <t>所属</t>
  </si>
  <si>
    <t>氏名</t>
  </si>
  <si>
    <t>得点</t>
  </si>
  <si>
    <t>HR</t>
  </si>
  <si>
    <t>レフリー</t>
  </si>
  <si>
    <t>レフリー：</t>
  </si>
  <si>
    <t>io</t>
  </si>
  <si>
    <t>節</t>
  </si>
  <si>
    <t>所属A</t>
  </si>
  <si>
    <t>選手名A</t>
  </si>
  <si>
    <t>選手名B</t>
  </si>
  <si>
    <t>所属B</t>
  </si>
  <si>
    <t>順</t>
  </si>
  <si>
    <t>HR記録</t>
  </si>
  <si>
    <t>HR_Point</t>
  </si>
  <si>
    <t>Rank</t>
  </si>
  <si>
    <t>クラブ</t>
  </si>
  <si>
    <t>MAX</t>
  </si>
  <si>
    <t>途中経過</t>
  </si>
  <si>
    <t>持点</t>
  </si>
  <si>
    <t>L</t>
  </si>
  <si>
    <t>TP</t>
  </si>
  <si>
    <t>R</t>
  </si>
  <si>
    <t>1G</t>
  </si>
  <si>
    <t>2G</t>
  </si>
  <si>
    <t>3G</t>
  </si>
  <si>
    <t>4G</t>
  </si>
  <si>
    <t>5G</t>
  </si>
  <si>
    <t>6G</t>
  </si>
  <si>
    <t>A</t>
  </si>
  <si>
    <t>B</t>
  </si>
  <si>
    <t>P</t>
  </si>
  <si>
    <t>R_P</t>
  </si>
  <si>
    <t>MVP、VP</t>
  </si>
  <si>
    <t>Total</t>
  </si>
  <si>
    <t>※</t>
  </si>
  <si>
    <t>TPの数字は、ハンデによる換算後の得点を示す。</t>
  </si>
  <si>
    <t>Name</t>
  </si>
  <si>
    <t>LP</t>
  </si>
  <si>
    <t>MVP</t>
  </si>
  <si>
    <t>VP</t>
  </si>
  <si>
    <t>RK</t>
  </si>
  <si>
    <t>(TP)</t>
  </si>
  <si>
    <t>TPの上段（　　）内の数字は、ハンデによる換算をしていない得点を示す。</t>
  </si>
  <si>
    <t>補1</t>
    <rPh sb="0" eb="1">
      <t>ホ</t>
    </rPh>
    <phoneticPr fontId="49"/>
  </si>
  <si>
    <t>補2</t>
    <rPh sb="0" eb="1">
      <t>ホ</t>
    </rPh>
    <phoneticPr fontId="49"/>
  </si>
  <si>
    <t>補3</t>
    <rPh sb="0" eb="1">
      <t>ホ</t>
    </rPh>
    <phoneticPr fontId="49"/>
  </si>
  <si>
    <t>LP</t>
    <phoneticPr fontId="49"/>
  </si>
  <si>
    <t>SBC</t>
    <phoneticPr fontId="49"/>
  </si>
  <si>
    <t>運営</t>
    <rPh sb="0" eb="2">
      <t>ウンエイ</t>
    </rPh>
    <phoneticPr fontId="49"/>
  </si>
  <si>
    <t>M</t>
    <phoneticPr fontId="49"/>
  </si>
  <si>
    <t>M</t>
    <phoneticPr fontId="49"/>
  </si>
  <si>
    <t>M</t>
    <phoneticPr fontId="49"/>
  </si>
  <si>
    <t>8M1</t>
  </si>
  <si>
    <t>G-No</t>
    <phoneticPr fontId="49"/>
  </si>
  <si>
    <t>クラブ</t>
    <phoneticPr fontId="49"/>
  </si>
  <si>
    <t>名対抗</t>
    <rPh sb="0" eb="1">
      <t>メイ</t>
    </rPh>
    <rPh sb="1" eb="3">
      <t>タイコウ</t>
    </rPh>
    <phoneticPr fontId="49"/>
  </si>
  <si>
    <t>5M1</t>
  </si>
  <si>
    <t>5M2</t>
  </si>
  <si>
    <t>5M3</t>
  </si>
  <si>
    <t>5M4</t>
  </si>
  <si>
    <t>5M5</t>
  </si>
  <si>
    <t>5M6</t>
  </si>
  <si>
    <t>5M7</t>
  </si>
  <si>
    <t>5M8</t>
  </si>
  <si>
    <t>5M9</t>
  </si>
  <si>
    <t>5M10</t>
  </si>
  <si>
    <t>5M11</t>
  </si>
  <si>
    <t>5M12</t>
  </si>
  <si>
    <t>5M13</t>
  </si>
  <si>
    <t>5M14</t>
  </si>
  <si>
    <t>5M15</t>
  </si>
  <si>
    <t>5M16</t>
  </si>
  <si>
    <t>5M17</t>
  </si>
  <si>
    <t>5M18</t>
  </si>
  <si>
    <t>5M19</t>
  </si>
  <si>
    <t>5M20</t>
  </si>
  <si>
    <t>5M21</t>
  </si>
  <si>
    <t>5M22</t>
  </si>
  <si>
    <t>5M23</t>
  </si>
  <si>
    <t>5M24</t>
  </si>
  <si>
    <t>5M25</t>
  </si>
  <si>
    <t>5M26</t>
  </si>
  <si>
    <t>5M27</t>
  </si>
  <si>
    <t>5M28</t>
  </si>
  <si>
    <t>5M29</t>
  </si>
  <si>
    <t>5M30</t>
  </si>
  <si>
    <t>5M31</t>
  </si>
  <si>
    <t>5M32</t>
  </si>
  <si>
    <t>5M33</t>
  </si>
  <si>
    <t>5M34</t>
  </si>
  <si>
    <t>5M35</t>
  </si>
  <si>
    <t>5M36</t>
  </si>
  <si>
    <t>5M37</t>
  </si>
  <si>
    <t>5M38</t>
  </si>
  <si>
    <t>5M39</t>
  </si>
  <si>
    <t>5M40</t>
  </si>
  <si>
    <t>5M41</t>
  </si>
  <si>
    <t>5M42</t>
  </si>
  <si>
    <t>5M43</t>
  </si>
  <si>
    <t>5M44</t>
  </si>
  <si>
    <t>5M45</t>
  </si>
  <si>
    <t>6M1</t>
  </si>
  <si>
    <t>6M2</t>
  </si>
  <si>
    <t>6M3</t>
  </si>
  <si>
    <t>6M4</t>
  </si>
  <si>
    <t>6M5</t>
  </si>
  <si>
    <t>6M6</t>
  </si>
  <si>
    <t>6M7</t>
  </si>
  <si>
    <t>6M8</t>
  </si>
  <si>
    <t>6M9</t>
  </si>
  <si>
    <t>6M10</t>
  </si>
  <si>
    <t>6M11</t>
  </si>
  <si>
    <t>6M12</t>
  </si>
  <si>
    <t>6M13</t>
  </si>
  <si>
    <t>6M14</t>
  </si>
  <si>
    <t>6M15</t>
  </si>
  <si>
    <t>6M16</t>
  </si>
  <si>
    <t>6M17</t>
  </si>
  <si>
    <t>6M18</t>
  </si>
  <si>
    <t>6M19</t>
  </si>
  <si>
    <t>6M20</t>
  </si>
  <si>
    <t>6M21</t>
  </si>
  <si>
    <t>6M22</t>
  </si>
  <si>
    <t>6M23</t>
  </si>
  <si>
    <t>6M24</t>
  </si>
  <si>
    <t>6M25</t>
  </si>
  <si>
    <t>6M26</t>
  </si>
  <si>
    <t>6M27</t>
  </si>
  <si>
    <t>6M28</t>
  </si>
  <si>
    <t>6M29</t>
  </si>
  <si>
    <t>6M30</t>
  </si>
  <si>
    <t>6M31</t>
  </si>
  <si>
    <t>6M32</t>
  </si>
  <si>
    <t>6M33</t>
  </si>
  <si>
    <t>6M34</t>
  </si>
  <si>
    <t>6M35</t>
  </si>
  <si>
    <t>6M36</t>
  </si>
  <si>
    <t>6M37</t>
  </si>
  <si>
    <t>6M38</t>
  </si>
  <si>
    <t>6M39</t>
  </si>
  <si>
    <t>6M40</t>
  </si>
  <si>
    <t>6M41</t>
  </si>
  <si>
    <t>6M42</t>
  </si>
  <si>
    <t>6M43</t>
  </si>
  <si>
    <t>6M44</t>
  </si>
  <si>
    <t>6M45</t>
  </si>
  <si>
    <t>6M46</t>
  </si>
  <si>
    <t>6M47</t>
  </si>
  <si>
    <t>6M48</t>
  </si>
  <si>
    <t>6M49</t>
  </si>
  <si>
    <t>6M50</t>
  </si>
  <si>
    <t>6M51</t>
  </si>
  <si>
    <t>6M52</t>
  </si>
  <si>
    <t>6M53</t>
  </si>
  <si>
    <t>6M54</t>
  </si>
  <si>
    <t>7M1</t>
  </si>
  <si>
    <t>7M2</t>
  </si>
  <si>
    <t>7M3</t>
  </si>
  <si>
    <t>7M4</t>
  </si>
  <si>
    <t>7M5</t>
  </si>
  <si>
    <t>7M6</t>
  </si>
  <si>
    <t>7M7</t>
  </si>
  <si>
    <t>7M8</t>
  </si>
  <si>
    <t>7M9</t>
  </si>
  <si>
    <t>7M10</t>
  </si>
  <si>
    <t>7M11</t>
  </si>
  <si>
    <t>7M12</t>
  </si>
  <si>
    <t>7M13</t>
  </si>
  <si>
    <t>7M14</t>
  </si>
  <si>
    <t>7M15</t>
  </si>
  <si>
    <t>7M16</t>
  </si>
  <si>
    <t>7M17</t>
  </si>
  <si>
    <t>7M18</t>
  </si>
  <si>
    <t>7M19</t>
  </si>
  <si>
    <t>7M20</t>
  </si>
  <si>
    <t>7M21</t>
  </si>
  <si>
    <t>7M22</t>
  </si>
  <si>
    <t>7M23</t>
  </si>
  <si>
    <t>7M24</t>
  </si>
  <si>
    <t>7M25</t>
  </si>
  <si>
    <t>7M26</t>
  </si>
  <si>
    <t>7M27</t>
  </si>
  <si>
    <t>7M28</t>
  </si>
  <si>
    <t>7M29</t>
  </si>
  <si>
    <t>7M30</t>
  </si>
  <si>
    <t>7M31</t>
  </si>
  <si>
    <t>7M32</t>
  </si>
  <si>
    <t>7M33</t>
  </si>
  <si>
    <t>7M34</t>
  </si>
  <si>
    <t>7M35</t>
  </si>
  <si>
    <t>7M36</t>
  </si>
  <si>
    <t>7M37</t>
  </si>
  <si>
    <t>7M38</t>
  </si>
  <si>
    <t>7M39</t>
  </si>
  <si>
    <t>7M40</t>
  </si>
  <si>
    <t>7M41</t>
  </si>
  <si>
    <t>7M42</t>
  </si>
  <si>
    <t>7M43</t>
  </si>
  <si>
    <t>7M44</t>
  </si>
  <si>
    <t>7M45</t>
  </si>
  <si>
    <t>7M46</t>
  </si>
  <si>
    <t>7M47</t>
  </si>
  <si>
    <t>7M48</t>
  </si>
  <si>
    <t>7M49</t>
  </si>
  <si>
    <t>7M50</t>
  </si>
  <si>
    <t>7M51</t>
  </si>
  <si>
    <t>7M52</t>
  </si>
  <si>
    <t>7M53</t>
  </si>
  <si>
    <t>7M54</t>
  </si>
  <si>
    <t>7M55</t>
  </si>
  <si>
    <t>7M56</t>
  </si>
  <si>
    <t>7M57</t>
  </si>
  <si>
    <t>7M58</t>
  </si>
  <si>
    <t>7M59</t>
  </si>
  <si>
    <t>7M60</t>
  </si>
  <si>
    <t>7M61</t>
  </si>
  <si>
    <t>7M62</t>
  </si>
  <si>
    <t>7M63</t>
  </si>
  <si>
    <t>8M2</t>
  </si>
  <si>
    <t>8M3</t>
  </si>
  <si>
    <t>8M4</t>
  </si>
  <si>
    <t>8M5</t>
  </si>
  <si>
    <t>8M6</t>
  </si>
  <si>
    <t>8M7</t>
  </si>
  <si>
    <t>8M8</t>
  </si>
  <si>
    <t>8M9</t>
  </si>
  <si>
    <t>8M10</t>
  </si>
  <si>
    <t>8M11</t>
  </si>
  <si>
    <t>8M12</t>
  </si>
  <si>
    <t>8M13</t>
  </si>
  <si>
    <t>8M14</t>
  </si>
  <si>
    <t>8M15</t>
  </si>
  <si>
    <t>8M16</t>
  </si>
  <si>
    <t>8M17</t>
  </si>
  <si>
    <t>8M18</t>
  </si>
  <si>
    <t>8M19</t>
  </si>
  <si>
    <t>8M20</t>
  </si>
  <si>
    <t>8M21</t>
  </si>
  <si>
    <t>8M22</t>
  </si>
  <si>
    <t>8M23</t>
  </si>
  <si>
    <t>8M24</t>
  </si>
  <si>
    <t>8M25</t>
  </si>
  <si>
    <t>8M26</t>
  </si>
  <si>
    <t>8M27</t>
  </si>
  <si>
    <t>8M28</t>
  </si>
  <si>
    <t>8M29</t>
  </si>
  <si>
    <t>8M30</t>
  </si>
  <si>
    <t>8M31</t>
  </si>
  <si>
    <t>8M32</t>
  </si>
  <si>
    <t>8M33</t>
  </si>
  <si>
    <t>8M34</t>
  </si>
  <si>
    <t>8M35</t>
  </si>
  <si>
    <t>8M36</t>
  </si>
  <si>
    <t>8M37</t>
  </si>
  <si>
    <t>8M38</t>
  </si>
  <si>
    <t>8M39</t>
  </si>
  <si>
    <t>8M40</t>
  </si>
  <si>
    <t>8M41</t>
  </si>
  <si>
    <t>8M42</t>
  </si>
  <si>
    <t>8M43</t>
  </si>
  <si>
    <t>8M44</t>
  </si>
  <si>
    <t>8M45</t>
  </si>
  <si>
    <t>8M46</t>
  </si>
  <si>
    <t>8M47</t>
  </si>
  <si>
    <t>8M48</t>
  </si>
  <si>
    <t>8M49</t>
  </si>
  <si>
    <t>8M50</t>
  </si>
  <si>
    <t>8M51</t>
  </si>
  <si>
    <t>8M52</t>
  </si>
  <si>
    <t>8M53</t>
  </si>
  <si>
    <t>8M54</t>
  </si>
  <si>
    <t>8M55</t>
  </si>
  <si>
    <t>8M56</t>
  </si>
  <si>
    <t>8M57</t>
  </si>
  <si>
    <t>8M58</t>
  </si>
  <si>
    <t>8M59</t>
  </si>
  <si>
    <t>8M60</t>
  </si>
  <si>
    <t>8M61</t>
  </si>
  <si>
    <t>8M62</t>
  </si>
  <si>
    <t>8M63</t>
  </si>
  <si>
    <t>8M64</t>
  </si>
  <si>
    <t>8M65</t>
  </si>
  <si>
    <t>8M66</t>
  </si>
  <si>
    <t>8M67</t>
  </si>
  <si>
    <t>8M68</t>
  </si>
  <si>
    <t>8M69</t>
  </si>
  <si>
    <t>8M70</t>
  </si>
  <si>
    <t>8M71</t>
  </si>
  <si>
    <t>8M72</t>
  </si>
  <si>
    <t>節</t>
    <rPh sb="0" eb="1">
      <t>セツ</t>
    </rPh>
    <phoneticPr fontId="49"/>
  </si>
  <si>
    <t>T</t>
    <phoneticPr fontId="49"/>
  </si>
  <si>
    <t>N</t>
    <phoneticPr fontId="49"/>
  </si>
  <si>
    <t>n</t>
    <phoneticPr fontId="49"/>
  </si>
  <si>
    <t>C</t>
    <phoneticPr fontId="49"/>
  </si>
  <si>
    <t>p</t>
    <phoneticPr fontId="49"/>
  </si>
  <si>
    <t>N</t>
    <phoneticPr fontId="49"/>
  </si>
  <si>
    <t>p</t>
    <phoneticPr fontId="49"/>
  </si>
  <si>
    <t>T</t>
    <phoneticPr fontId="49"/>
  </si>
  <si>
    <t>n</t>
    <phoneticPr fontId="49"/>
  </si>
  <si>
    <t>クラブID</t>
    <phoneticPr fontId="49"/>
  </si>
  <si>
    <t>クラブ名</t>
    <rPh sb="3" eb="4">
      <t>メイ</t>
    </rPh>
    <phoneticPr fontId="49"/>
  </si>
  <si>
    <t>選手ID</t>
    <rPh sb="0" eb="2">
      <t>センシュ</t>
    </rPh>
    <phoneticPr fontId="49"/>
  </si>
  <si>
    <t>チーム</t>
    <phoneticPr fontId="49"/>
  </si>
  <si>
    <t>選手名</t>
    <rPh sb="0" eb="3">
      <t>センシュメイ</t>
    </rPh>
    <phoneticPr fontId="49"/>
  </si>
  <si>
    <t>持点</t>
    <rPh sb="0" eb="1">
      <t>モ</t>
    </rPh>
    <rPh sb="1" eb="2">
      <t>テン</t>
    </rPh>
    <phoneticPr fontId="49"/>
  </si>
  <si>
    <t>st  Section</t>
    <phoneticPr fontId="49"/>
  </si>
  <si>
    <t>nd  Section</t>
    <phoneticPr fontId="49"/>
  </si>
  <si>
    <t>rd  Section</t>
    <phoneticPr fontId="49"/>
  </si>
  <si>
    <t>st Section</t>
    <phoneticPr fontId="49"/>
  </si>
  <si>
    <t>nd Section</t>
    <phoneticPr fontId="49"/>
  </si>
  <si>
    <t>rd Section</t>
    <phoneticPr fontId="49"/>
  </si>
  <si>
    <t>本人</t>
    <rPh sb="0" eb="2">
      <t>ホンニン</t>
    </rPh>
    <phoneticPr fontId="49"/>
  </si>
  <si>
    <t>HR</t>
    <phoneticPr fontId="49"/>
  </si>
  <si>
    <t>相手</t>
    <rPh sb="0" eb="2">
      <t>アイテ</t>
    </rPh>
    <phoneticPr fontId="49"/>
  </si>
  <si>
    <t>相手持点</t>
    <rPh sb="0" eb="3">
      <t>アイテモ</t>
    </rPh>
    <rPh sb="3" eb="4">
      <t>テン</t>
    </rPh>
    <phoneticPr fontId="49"/>
  </si>
  <si>
    <t>基本持点</t>
    <rPh sb="0" eb="3">
      <t>キホンモ</t>
    </rPh>
    <rPh sb="3" eb="4">
      <t>テン</t>
    </rPh>
    <phoneticPr fontId="49"/>
  </si>
  <si>
    <t>No</t>
    <phoneticPr fontId="49"/>
  </si>
  <si>
    <t>Name</t>
    <phoneticPr fontId="49"/>
  </si>
  <si>
    <t>神奈滋</t>
    <rPh sb="0" eb="1">
      <t>シン</t>
    </rPh>
    <rPh sb="1" eb="2">
      <t>ナ</t>
    </rPh>
    <rPh sb="2" eb="3">
      <t>シゲル</t>
    </rPh>
    <phoneticPr fontId="49"/>
  </si>
  <si>
    <t>キングスポット</t>
    <phoneticPr fontId="49"/>
  </si>
  <si>
    <t>奈良</t>
    <phoneticPr fontId="49"/>
  </si>
  <si>
    <t>吉向翔平</t>
    <phoneticPr fontId="49"/>
  </si>
  <si>
    <t>岩本剛</t>
    <phoneticPr fontId="49"/>
  </si>
  <si>
    <t>長谷川進</t>
    <phoneticPr fontId="49"/>
  </si>
  <si>
    <t>宮野早織</t>
    <phoneticPr fontId="49"/>
  </si>
  <si>
    <t>NRC</t>
    <phoneticPr fontId="49"/>
  </si>
  <si>
    <t>大橋正寛</t>
    <phoneticPr fontId="49"/>
  </si>
  <si>
    <t>長田智紀</t>
    <phoneticPr fontId="49"/>
  </si>
  <si>
    <t>西峰久祐</t>
    <phoneticPr fontId="49"/>
  </si>
  <si>
    <t>大橋義治</t>
    <phoneticPr fontId="49"/>
  </si>
  <si>
    <t>山中康寛</t>
    <phoneticPr fontId="49"/>
  </si>
  <si>
    <t>大橋洋子</t>
    <phoneticPr fontId="49"/>
  </si>
  <si>
    <t>HRC</t>
    <phoneticPr fontId="49"/>
  </si>
  <si>
    <t>宮本一</t>
    <phoneticPr fontId="49"/>
  </si>
  <si>
    <t>堂園雅也</t>
    <phoneticPr fontId="49"/>
  </si>
  <si>
    <t>平井洸志</t>
    <phoneticPr fontId="49"/>
  </si>
  <si>
    <t>宮井健太郎</t>
    <phoneticPr fontId="49"/>
  </si>
  <si>
    <t>金井健太郎</t>
    <phoneticPr fontId="49"/>
  </si>
  <si>
    <t>河地恵里</t>
    <phoneticPr fontId="49"/>
  </si>
  <si>
    <t>金澤茂昌</t>
    <phoneticPr fontId="49"/>
  </si>
  <si>
    <t>井本高史</t>
    <phoneticPr fontId="49"/>
  </si>
  <si>
    <t>w</t>
    <phoneticPr fontId="49"/>
  </si>
  <si>
    <t>吉向翔平</t>
    <rPh sb="0" eb="2">
      <t>キッコウ</t>
    </rPh>
    <rPh sb="2" eb="4">
      <t>ショウヘイ</t>
    </rPh>
    <phoneticPr fontId="49"/>
  </si>
  <si>
    <t>NRC</t>
    <phoneticPr fontId="49"/>
  </si>
  <si>
    <t>金澤茂昌</t>
    <rPh sb="0" eb="2">
      <t>カナザワ</t>
    </rPh>
    <rPh sb="2" eb="3">
      <t>シゲル</t>
    </rPh>
    <rPh sb="3" eb="4">
      <t>マサ</t>
    </rPh>
    <phoneticPr fontId="49"/>
  </si>
  <si>
    <t>HRC</t>
    <phoneticPr fontId="49"/>
  </si>
  <si>
    <t>堂園雅也</t>
    <rPh sb="0" eb="2">
      <t>ドウゾノ</t>
    </rPh>
    <rPh sb="2" eb="4">
      <t>マサヤ</t>
    </rPh>
    <phoneticPr fontId="49"/>
  </si>
  <si>
    <t>大橋正寛</t>
    <rPh sb="0" eb="2">
      <t>オオハシ</t>
    </rPh>
    <rPh sb="2" eb="3">
      <t>セイ</t>
    </rPh>
    <rPh sb="3" eb="4">
      <t>ヒロシ</t>
    </rPh>
    <phoneticPr fontId="49"/>
  </si>
  <si>
    <t>SBC</t>
    <phoneticPr fontId="49"/>
  </si>
</sst>
</file>

<file path=xl/styles.xml><?xml version="1.0" encoding="utf-8"?>
<styleSheet xmlns="http://schemas.openxmlformats.org/spreadsheetml/2006/main">
  <numFmts count="1">
    <numFmt numFmtId="176" formatCode="0_ "/>
  </numFmts>
  <fonts count="56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sz val="3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i/>
      <sz val="1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4"/>
      <color rgb="FF3333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1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572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 shrinkToFit="1"/>
    </xf>
    <xf numFmtId="0" fontId="19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/>
    <xf numFmtId="0" fontId="23" fillId="0" borderId="24" xfId="0" applyFont="1" applyBorder="1"/>
    <xf numFmtId="0" fontId="23" fillId="0" borderId="25" xfId="0" applyFont="1" applyBorder="1"/>
    <xf numFmtId="0" fontId="22" fillId="0" borderId="26" xfId="0" applyFont="1" applyBorder="1" applyAlignment="1">
      <alignment horizontal="centerContinuous"/>
    </xf>
    <xf numFmtId="0" fontId="22" fillId="0" borderId="14" xfId="0" applyFont="1" applyBorder="1" applyAlignment="1">
      <alignment horizontal="centerContinuous"/>
    </xf>
    <xf numFmtId="0" fontId="22" fillId="0" borderId="27" xfId="0" applyFont="1" applyBorder="1" applyAlignment="1">
      <alignment horizontal="centerContinuous"/>
    </xf>
    <xf numFmtId="0" fontId="22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Continuous" vertical="center"/>
    </xf>
    <xf numFmtId="0" fontId="0" fillId="0" borderId="38" xfId="0" applyBorder="1" applyAlignment="1">
      <alignment horizontal="centerContinuous" vertical="center"/>
    </xf>
    <xf numFmtId="0" fontId="18" fillId="0" borderId="0" xfId="0" applyFont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26" fillId="0" borderId="39" xfId="0" applyFont="1" applyBorder="1" applyAlignment="1">
      <alignment horizontal="centerContinuous" vertical="center"/>
    </xf>
    <xf numFmtId="0" fontId="0" fillId="24" borderId="4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Continuous"/>
    </xf>
    <xf numFmtId="0" fontId="0" fillId="0" borderId="41" xfId="0" applyFont="1" applyBorder="1"/>
    <xf numFmtId="0" fontId="24" fillId="0" borderId="18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right"/>
    </xf>
    <xf numFmtId="0" fontId="24" fillId="0" borderId="47" xfId="0" applyFont="1" applyBorder="1"/>
    <xf numFmtId="0" fontId="24" fillId="0" borderId="21" xfId="0" applyFont="1" applyBorder="1"/>
    <xf numFmtId="0" fontId="24" fillId="0" borderId="48" xfId="0" applyFont="1" applyBorder="1"/>
    <xf numFmtId="0" fontId="24" fillId="0" borderId="49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50" xfId="0" applyFont="1" applyBorder="1" applyAlignment="1">
      <alignment horizontal="right"/>
    </xf>
    <xf numFmtId="0" fontId="27" fillId="0" borderId="0" xfId="0" applyFont="1" applyAlignment="1">
      <alignment horizontal="centerContinuous"/>
    </xf>
    <xf numFmtId="0" fontId="13" fillId="0" borderId="0" xfId="0" applyFont="1"/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9" fillId="0" borderId="29" xfId="0" applyFont="1" applyBorder="1" applyAlignment="1">
      <alignment horizontal="center" vertical="center"/>
    </xf>
    <xf numFmtId="0" fontId="13" fillId="0" borderId="51" xfId="0" applyFont="1" applyBorder="1"/>
    <xf numFmtId="0" fontId="13" fillId="0" borderId="0" xfId="0" applyFont="1" applyBorder="1"/>
    <xf numFmtId="0" fontId="13" fillId="0" borderId="29" xfId="0" applyFont="1" applyBorder="1"/>
    <xf numFmtId="176" fontId="30" fillId="0" borderId="0" xfId="0" applyNumberFormat="1" applyFont="1" applyBorder="1" applyAlignment="1">
      <alignment horizontal="center" vertical="center"/>
    </xf>
    <xf numFmtId="176" fontId="30" fillId="0" borderId="12" xfId="0" applyNumberFormat="1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/>
    </xf>
    <xf numFmtId="0" fontId="32" fillId="0" borderId="62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2" fillId="0" borderId="0" xfId="0" applyFont="1"/>
    <xf numFmtId="0" fontId="32" fillId="0" borderId="12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37" xfId="0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0" fillId="0" borderId="0" xfId="0" applyAlignment="1">
      <alignment horizontal="center"/>
    </xf>
    <xf numFmtId="0" fontId="34" fillId="0" borderId="66" xfId="0" applyFont="1" applyBorder="1" applyAlignment="1">
      <alignment horizontal="centerContinuous" vertical="center"/>
    </xf>
    <xf numFmtId="0" fontId="0" fillId="0" borderId="67" xfId="0" applyBorder="1" applyAlignment="1">
      <alignment horizontal="centerContinuous" vertical="center"/>
    </xf>
    <xf numFmtId="0" fontId="0" fillId="0" borderId="68" xfId="0" applyBorder="1" applyAlignment="1">
      <alignment horizontal="centerContinuous" vertical="center"/>
    </xf>
    <xf numFmtId="0" fontId="0" fillId="0" borderId="43" xfId="0" applyBorder="1" applyAlignment="1">
      <alignment horizontal="center" vertical="center"/>
    </xf>
    <xf numFmtId="0" fontId="34" fillId="0" borderId="69" xfId="0" applyFont="1" applyBorder="1" applyAlignment="1">
      <alignment horizontal="centerContinuous" vertical="center"/>
    </xf>
    <xf numFmtId="0" fontId="0" fillId="0" borderId="70" xfId="0" applyBorder="1" applyAlignment="1">
      <alignment horizontal="centerContinuous" vertical="center"/>
    </xf>
    <xf numFmtId="0" fontId="35" fillId="0" borderId="56" xfId="0" applyFont="1" applyBorder="1" applyAlignment="1">
      <alignment horizontal="centerContinuous" vertical="center"/>
    </xf>
    <xf numFmtId="0" fontId="0" fillId="0" borderId="18" xfId="0" applyBorder="1" applyAlignment="1">
      <alignment horizontal="center" vertical="center"/>
    </xf>
    <xf numFmtId="0" fontId="35" fillId="0" borderId="39" xfId="0" applyFont="1" applyBorder="1" applyAlignment="1">
      <alignment horizontal="centerContinuous" vertical="center"/>
    </xf>
    <xf numFmtId="0" fontId="0" fillId="0" borderId="71" xfId="0" applyBorder="1" applyAlignment="1">
      <alignment horizontal="centerContinuous" vertical="center"/>
    </xf>
    <xf numFmtId="0" fontId="0" fillId="0" borderId="56" xfId="0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0" fontId="0" fillId="0" borderId="72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0" fillId="0" borderId="74" xfId="0" applyBorder="1" applyAlignment="1">
      <alignment horizontal="centerContinuous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Continuous" vertical="center"/>
    </xf>
    <xf numFmtId="0" fontId="0" fillId="0" borderId="77" xfId="0" applyBorder="1" applyAlignment="1">
      <alignment horizontal="centerContinuous" vertical="center"/>
    </xf>
    <xf numFmtId="0" fontId="0" fillId="0" borderId="13" xfId="0" applyFont="1" applyBorder="1" applyAlignment="1">
      <alignment horizontal="center" vertical="center"/>
    </xf>
    <xf numFmtId="0" fontId="0" fillId="24" borderId="14" xfId="0" applyFont="1" applyFill="1" applyBorder="1" applyAlignment="1">
      <alignment horizontal="center" vertical="center"/>
    </xf>
    <xf numFmtId="0" fontId="0" fillId="24" borderId="78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24" borderId="79" xfId="0" applyFont="1" applyFill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24" borderId="81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24" borderId="82" xfId="0" applyFont="1" applyFill="1" applyBorder="1" applyAlignment="1">
      <alignment horizontal="center" vertical="center"/>
    </xf>
    <xf numFmtId="0" fontId="0" fillId="24" borderId="75" xfId="0" applyFont="1" applyFill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60" xfId="0" applyFont="1" applyFill="1" applyBorder="1" applyAlignment="1">
      <alignment horizontal="center" vertical="center"/>
    </xf>
    <xf numFmtId="0" fontId="0" fillId="24" borderId="83" xfId="0" applyFont="1" applyFill="1" applyBorder="1" applyAlignment="1">
      <alignment horizontal="center" vertical="center"/>
    </xf>
    <xf numFmtId="0" fontId="0" fillId="24" borderId="84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2" fillId="0" borderId="85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1" fontId="32" fillId="0" borderId="38" xfId="0" applyNumberFormat="1" applyFont="1" applyBorder="1" applyAlignment="1">
      <alignment horizontal="center" vertical="center"/>
    </xf>
    <xf numFmtId="1" fontId="23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left"/>
    </xf>
    <xf numFmtId="0" fontId="24" fillId="0" borderId="0" xfId="0" applyFont="1" applyFill="1" applyBorder="1" applyAlignment="1">
      <alignment horizontal="left"/>
    </xf>
    <xf numFmtId="0" fontId="37" fillId="0" borderId="0" xfId="0" applyFont="1"/>
    <xf numFmtId="0" fontId="38" fillId="0" borderId="61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20" fillId="0" borderId="0" xfId="0" applyFont="1" applyAlignment="1">
      <alignment horizontal="centerContinuous" shrinkToFit="1"/>
    </xf>
    <xf numFmtId="0" fontId="22" fillId="0" borderId="0" xfId="0" applyFont="1" applyAlignment="1">
      <alignment horizontal="center" shrinkToFit="1"/>
    </xf>
    <xf numFmtId="0" fontId="23" fillId="0" borderId="0" xfId="0" applyFont="1" applyAlignment="1">
      <alignment shrinkToFit="1"/>
    </xf>
    <xf numFmtId="0" fontId="23" fillId="0" borderId="62" xfId="0" applyFont="1" applyBorder="1" applyAlignment="1">
      <alignment horizontal="center" vertical="center" shrinkToFit="1"/>
    </xf>
    <xf numFmtId="0" fontId="23" fillId="0" borderId="88" xfId="0" applyFont="1" applyBorder="1" applyAlignment="1">
      <alignment horizontal="center" vertical="center" shrinkToFit="1"/>
    </xf>
    <xf numFmtId="0" fontId="0" fillId="0" borderId="0" xfId="0" applyFont="1" applyAlignment="1">
      <alignment horizontal="centerContinuous" shrinkToFit="1"/>
    </xf>
    <xf numFmtId="0" fontId="0" fillId="0" borderId="0" xfId="0" applyFont="1" applyAlignment="1">
      <alignment horizontal="left" shrinkToFit="1"/>
    </xf>
    <xf numFmtId="0" fontId="0" fillId="0" borderId="0" xfId="0" applyFont="1" applyAlignment="1">
      <alignment shrinkToFit="1"/>
    </xf>
    <xf numFmtId="0" fontId="27" fillId="0" borderId="0" xfId="0" applyFont="1" applyAlignment="1">
      <alignment horizontal="centerContinuous" shrinkToFit="1"/>
    </xf>
    <xf numFmtId="0" fontId="21" fillId="0" borderId="0" xfId="0" applyFont="1" applyAlignment="1">
      <alignment horizontal="centerContinuous" shrinkToFit="1"/>
    </xf>
    <xf numFmtId="0" fontId="39" fillId="0" borderId="0" xfId="0" applyFont="1" applyAlignment="1">
      <alignment horizontal="centerContinuous" shrinkToFit="1"/>
    </xf>
    <xf numFmtId="0" fontId="40" fillId="0" borderId="63" xfId="0" applyFont="1" applyBorder="1" applyAlignment="1">
      <alignment horizontal="centerContinuous" vertical="center" shrinkToFit="1"/>
    </xf>
    <xf numFmtId="0" fontId="41" fillId="0" borderId="13" xfId="0" applyFont="1" applyBorder="1" applyAlignment="1">
      <alignment horizontal="centerContinuous" vertical="center" shrinkToFit="1"/>
    </xf>
    <xf numFmtId="0" fontId="41" fillId="0" borderId="89" xfId="0" applyFont="1" applyBorder="1" applyAlignment="1">
      <alignment horizontal="centerContinuous" vertical="center" shrinkToFit="1"/>
    </xf>
    <xf numFmtId="0" fontId="41" fillId="0" borderId="90" xfId="0" applyFont="1" applyBorder="1" applyAlignment="1">
      <alignment horizontal="centerContinuous" vertical="center" shrinkToFit="1"/>
    </xf>
    <xf numFmtId="0" fontId="41" fillId="0" borderId="91" xfId="0" applyFont="1" applyBorder="1" applyAlignment="1">
      <alignment horizontal="centerContinuous" vertical="center" shrinkToFit="1"/>
    </xf>
    <xf numFmtId="0" fontId="41" fillId="0" borderId="14" xfId="0" applyFont="1" applyBorder="1" applyAlignment="1">
      <alignment horizontal="centerContinuous" vertical="center" shrinkToFit="1"/>
    </xf>
    <xf numFmtId="0" fontId="40" fillId="0" borderId="14" xfId="0" applyFont="1" applyBorder="1" applyAlignment="1">
      <alignment horizontal="centerContinuous" vertical="center" shrinkToFit="1"/>
    </xf>
    <xf numFmtId="0" fontId="41" fillId="0" borderId="27" xfId="0" applyFont="1" applyBorder="1" applyAlignment="1">
      <alignment horizontal="centerContinuous" vertical="center" shrinkToFit="1"/>
    </xf>
    <xf numFmtId="0" fontId="36" fillId="0" borderId="64" xfId="0" applyFont="1" applyBorder="1" applyAlignment="1">
      <alignment horizontal="centerContinuous" shrinkToFit="1"/>
    </xf>
    <xf numFmtId="0" fontId="19" fillId="0" borderId="85" xfId="0" applyFont="1" applyBorder="1" applyAlignment="1">
      <alignment horizontal="centerContinuous" shrinkToFit="1"/>
    </xf>
    <xf numFmtId="0" fontId="19" fillId="0" borderId="16" xfId="0" applyFont="1" applyBorder="1" applyAlignment="1">
      <alignment horizontal="centerContinuous" shrinkToFit="1"/>
    </xf>
    <xf numFmtId="0" fontId="36" fillId="0" borderId="16" xfId="0" applyFont="1" applyBorder="1" applyAlignment="1">
      <alignment horizontal="centerContinuous" shrinkToFit="1"/>
    </xf>
    <xf numFmtId="0" fontId="19" fillId="0" borderId="92" xfId="0" applyFont="1" applyBorder="1" applyAlignment="1">
      <alignment horizontal="centerContinuous" shrinkToFit="1"/>
    </xf>
    <xf numFmtId="0" fontId="36" fillId="0" borderId="37" xfId="0" applyFont="1" applyBorder="1" applyAlignment="1">
      <alignment horizontal="centerContinuous" shrinkToFit="1"/>
    </xf>
    <xf numFmtId="0" fontId="19" fillId="0" borderId="38" xfId="0" applyFont="1" applyBorder="1" applyAlignment="1">
      <alignment horizontal="centerContinuous" shrinkToFit="1"/>
    </xf>
    <xf numFmtId="0" fontId="19" fillId="0" borderId="18" xfId="0" applyFont="1" applyBorder="1" applyAlignment="1">
      <alignment horizontal="centerContinuous" shrinkToFit="1"/>
    </xf>
    <xf numFmtId="0" fontId="36" fillId="0" borderId="18" xfId="0" applyFont="1" applyBorder="1" applyAlignment="1">
      <alignment horizontal="centerContinuous" shrinkToFit="1"/>
    </xf>
    <xf numFmtId="0" fontId="19" fillId="0" borderId="46" xfId="0" applyFont="1" applyBorder="1" applyAlignment="1">
      <alignment horizontal="centerContinuous" shrinkToFit="1"/>
    </xf>
    <xf numFmtId="0" fontId="36" fillId="0" borderId="73" xfId="0" applyFont="1" applyBorder="1" applyAlignment="1">
      <alignment horizontal="centerContinuous" shrinkToFit="1"/>
    </xf>
    <xf numFmtId="0" fontId="19" fillId="0" borderId="87" xfId="0" applyFont="1" applyBorder="1" applyAlignment="1">
      <alignment horizontal="centerContinuous" shrinkToFit="1"/>
    </xf>
    <xf numFmtId="0" fontId="19" fillId="0" borderId="21" xfId="0" applyFont="1" applyBorder="1" applyAlignment="1">
      <alignment horizontal="centerContinuous" shrinkToFit="1"/>
    </xf>
    <xf numFmtId="0" fontId="36" fillId="0" borderId="21" xfId="0" applyFont="1" applyBorder="1" applyAlignment="1">
      <alignment horizontal="centerContinuous" shrinkToFit="1"/>
    </xf>
    <xf numFmtId="0" fontId="19" fillId="0" borderId="48" xfId="0" applyFont="1" applyBorder="1" applyAlignment="1">
      <alignment horizontal="centerContinuous" shrinkToFit="1"/>
    </xf>
    <xf numFmtId="0" fontId="19" fillId="0" borderId="0" xfId="0" applyFont="1" applyAlignment="1">
      <alignment horizontal="centerContinuous" shrinkToFit="1"/>
    </xf>
    <xf numFmtId="0" fontId="36" fillId="0" borderId="0" xfId="0" applyFont="1" applyAlignment="1">
      <alignment horizontal="centerContinuous" shrinkToFit="1"/>
    </xf>
    <xf numFmtId="0" fontId="41" fillId="0" borderId="89" xfId="0" applyFont="1" applyBorder="1" applyAlignment="1">
      <alignment horizontal="center" vertical="center" shrinkToFit="1"/>
    </xf>
    <xf numFmtId="0" fontId="13" fillId="0" borderId="0" xfId="0" applyFont="1" applyAlignment="1">
      <alignment horizontal="left" shrinkToFit="1"/>
    </xf>
    <xf numFmtId="0" fontId="13" fillId="0" borderId="0" xfId="0" applyFont="1" applyAlignment="1">
      <alignment horizontal="centerContinuous" shrinkToFit="1"/>
    </xf>
    <xf numFmtId="1" fontId="41" fillId="0" borderId="14" xfId="0" applyNumberFormat="1" applyFont="1" applyBorder="1" applyAlignment="1">
      <alignment horizontal="centerContinuous" vertical="center" shrinkToFit="1"/>
    </xf>
    <xf numFmtId="1" fontId="19" fillId="0" borderId="18" xfId="0" applyNumberFormat="1" applyFont="1" applyBorder="1" applyAlignment="1">
      <alignment horizontal="centerContinuous" shrinkToFit="1"/>
    </xf>
    <xf numFmtId="1" fontId="19" fillId="0" borderId="21" xfId="0" applyNumberFormat="1" applyFont="1" applyBorder="1" applyAlignment="1">
      <alignment horizontal="centerContinuous" shrinkToFit="1"/>
    </xf>
    <xf numFmtId="1" fontId="19" fillId="0" borderId="0" xfId="0" applyNumberFormat="1" applyFont="1" applyAlignment="1">
      <alignment horizontal="centerContinuous" shrinkToFit="1"/>
    </xf>
    <xf numFmtId="1" fontId="19" fillId="0" borderId="16" xfId="0" applyNumberFormat="1" applyFont="1" applyBorder="1" applyAlignment="1">
      <alignment horizontal="centerContinuous" shrinkToFit="1"/>
    </xf>
    <xf numFmtId="0" fontId="21" fillId="0" borderId="0" xfId="0" applyFont="1" applyAlignment="1">
      <alignment horizontal="center" shrinkToFit="1"/>
    </xf>
    <xf numFmtId="0" fontId="39" fillId="0" borderId="0" xfId="0" applyFont="1" applyAlignment="1">
      <alignment horizontal="center" shrinkToFit="1"/>
    </xf>
    <xf numFmtId="0" fontId="40" fillId="0" borderId="63" xfId="0" applyFont="1" applyBorder="1" applyAlignment="1">
      <alignment horizontal="center" vertical="center" shrinkToFit="1"/>
    </xf>
    <xf numFmtId="0" fontId="41" fillId="0" borderId="14" xfId="0" applyFont="1" applyBorder="1" applyAlignment="1">
      <alignment horizontal="center" vertical="center" shrinkToFit="1"/>
    </xf>
    <xf numFmtId="0" fontId="41" fillId="0" borderId="27" xfId="0" applyFont="1" applyBorder="1" applyAlignment="1">
      <alignment horizontal="center" vertical="center" shrinkToFit="1"/>
    </xf>
    <xf numFmtId="0" fontId="19" fillId="0" borderId="85" xfId="0" applyFont="1" applyBorder="1" applyAlignment="1">
      <alignment shrinkToFit="1"/>
    </xf>
    <xf numFmtId="0" fontId="19" fillId="0" borderId="16" xfId="0" applyFont="1" applyBorder="1" applyAlignment="1">
      <alignment shrinkToFit="1"/>
    </xf>
    <xf numFmtId="0" fontId="19" fillId="0" borderId="16" xfId="0" applyFont="1" applyBorder="1" applyAlignment="1">
      <alignment horizontal="center" shrinkToFit="1"/>
    </xf>
    <xf numFmtId="0" fontId="19" fillId="0" borderId="38" xfId="0" applyFont="1" applyBorder="1" applyAlignment="1">
      <alignment shrinkToFit="1"/>
    </xf>
    <xf numFmtId="0" fontId="19" fillId="0" borderId="18" xfId="0" applyFont="1" applyBorder="1" applyAlignment="1">
      <alignment shrinkToFit="1"/>
    </xf>
    <xf numFmtId="0" fontId="19" fillId="0" borderId="18" xfId="0" applyFont="1" applyBorder="1" applyAlignment="1">
      <alignment horizontal="center" shrinkToFit="1"/>
    </xf>
    <xf numFmtId="0" fontId="19" fillId="0" borderId="87" xfId="0" applyFont="1" applyBorder="1" applyAlignment="1">
      <alignment shrinkToFit="1"/>
    </xf>
    <xf numFmtId="0" fontId="19" fillId="0" borderId="21" xfId="0" applyFont="1" applyBorder="1" applyAlignment="1">
      <alignment shrinkToFit="1"/>
    </xf>
    <xf numFmtId="0" fontId="19" fillId="0" borderId="21" xfId="0" applyFont="1" applyBorder="1" applyAlignment="1">
      <alignment horizontal="center" shrinkToFit="1"/>
    </xf>
    <xf numFmtId="0" fontId="19" fillId="0" borderId="0" xfId="0" applyFont="1" applyAlignment="1">
      <alignment shrinkToFit="1"/>
    </xf>
    <xf numFmtId="0" fontId="36" fillId="0" borderId="0" xfId="0" applyFont="1" applyAlignment="1">
      <alignment shrinkToFit="1"/>
    </xf>
    <xf numFmtId="0" fontId="19" fillId="0" borderId="0" xfId="0" applyFont="1" applyAlignment="1">
      <alignment horizontal="left" shrinkToFit="1"/>
    </xf>
    <xf numFmtId="0" fontId="13" fillId="0" borderId="0" xfId="0" applyFont="1" applyAlignment="1">
      <alignment shrinkToFit="1"/>
    </xf>
    <xf numFmtId="0" fontId="42" fillId="0" borderId="0" xfId="0" applyFont="1" applyAlignment="1">
      <alignment horizontal="center" vertical="center"/>
    </xf>
    <xf numFmtId="0" fontId="35" fillId="0" borderId="56" xfId="0" applyFont="1" applyBorder="1" applyAlignment="1">
      <alignment horizontal="centerContinuous" vertical="center" shrinkToFit="1"/>
    </xf>
    <xf numFmtId="0" fontId="0" fillId="0" borderId="37" xfId="0" applyBorder="1" applyAlignment="1">
      <alignment horizontal="centerContinuous" vertical="center" shrinkToFit="1"/>
    </xf>
    <xf numFmtId="0" fontId="0" fillId="0" borderId="38" xfId="0" applyBorder="1" applyAlignment="1">
      <alignment horizontal="centerContinuous" vertical="center" shrinkToFit="1"/>
    </xf>
    <xf numFmtId="0" fontId="0" fillId="0" borderId="18" xfId="0" applyBorder="1" applyAlignment="1">
      <alignment horizontal="center" vertical="center" shrinkToFit="1"/>
    </xf>
    <xf numFmtId="0" fontId="35" fillId="0" borderId="39" xfId="0" applyFont="1" applyBorder="1" applyAlignment="1">
      <alignment horizontal="centerContinuous" vertical="center" shrinkToFit="1"/>
    </xf>
    <xf numFmtId="0" fontId="0" fillId="0" borderId="71" xfId="0" applyBorder="1" applyAlignment="1">
      <alignment horizontal="centerContinuous" vertical="center" shrinkToFit="1"/>
    </xf>
    <xf numFmtId="0" fontId="0" fillId="0" borderId="0" xfId="0" applyAlignment="1">
      <alignment shrinkToFit="1"/>
    </xf>
    <xf numFmtId="1" fontId="36" fillId="0" borderId="16" xfId="0" applyNumberFormat="1" applyFont="1" applyBorder="1" applyAlignment="1">
      <alignment horizontal="centerContinuous" shrinkToFit="1"/>
    </xf>
    <xf numFmtId="0" fontId="18" fillId="0" borderId="0" xfId="0" applyFont="1" applyAlignment="1">
      <alignment horizontal="center"/>
    </xf>
    <xf numFmtId="0" fontId="37" fillId="0" borderId="0" xfId="0" applyFont="1" applyAlignment="1">
      <alignment vertical="center"/>
    </xf>
    <xf numFmtId="1" fontId="24" fillId="0" borderId="18" xfId="0" applyNumberFormat="1" applyFont="1" applyBorder="1" applyAlignment="1">
      <alignment horizontal="right"/>
    </xf>
    <xf numFmtId="1" fontId="24" fillId="0" borderId="19" xfId="0" applyNumberFormat="1" applyFont="1" applyBorder="1" applyAlignment="1">
      <alignment horizontal="right"/>
    </xf>
    <xf numFmtId="0" fontId="19" fillId="0" borderId="92" xfId="0" applyFont="1" applyBorder="1" applyAlignment="1">
      <alignment horizontal="center" shrinkToFit="1"/>
    </xf>
    <xf numFmtId="0" fontId="19" fillId="0" borderId="46" xfId="0" applyFont="1" applyBorder="1" applyAlignment="1">
      <alignment horizontal="center" shrinkToFit="1"/>
    </xf>
    <xf numFmtId="0" fontId="19" fillId="0" borderId="48" xfId="0" applyFont="1" applyBorder="1" applyAlignment="1">
      <alignment horizontal="center" shrinkToFit="1"/>
    </xf>
    <xf numFmtId="0" fontId="19" fillId="0" borderId="0" xfId="0" applyFont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3" fillId="0" borderId="93" xfId="0" applyFont="1" applyBorder="1" applyAlignment="1">
      <alignment shrinkToFit="1"/>
    </xf>
    <xf numFmtId="0" fontId="23" fillId="0" borderId="16" xfId="0" applyFont="1" applyBorder="1" applyAlignment="1">
      <alignment shrinkToFit="1"/>
    </xf>
    <xf numFmtId="0" fontId="23" fillId="0" borderId="92" xfId="0" applyFont="1" applyBorder="1" applyAlignment="1">
      <alignment shrinkToFit="1"/>
    </xf>
    <xf numFmtId="0" fontId="23" fillId="0" borderId="45" xfId="0" applyFont="1" applyBorder="1" applyAlignment="1">
      <alignment shrinkToFit="1"/>
    </xf>
    <xf numFmtId="0" fontId="23" fillId="0" borderId="18" xfId="0" applyFont="1" applyBorder="1" applyAlignment="1">
      <alignment shrinkToFit="1"/>
    </xf>
    <xf numFmtId="0" fontId="23" fillId="0" borderId="46" xfId="0" applyFont="1" applyBorder="1" applyAlignment="1">
      <alignment shrinkToFit="1"/>
    </xf>
    <xf numFmtId="0" fontId="23" fillId="0" borderId="49" xfId="0" applyFont="1" applyBorder="1" applyAlignment="1">
      <alignment shrinkToFit="1"/>
    </xf>
    <xf numFmtId="0" fontId="23" fillId="0" borderId="19" xfId="0" applyFont="1" applyBorder="1" applyAlignment="1">
      <alignment shrinkToFit="1"/>
    </xf>
    <xf numFmtId="0" fontId="23" fillId="0" borderId="50" xfId="0" applyFont="1" applyBorder="1" applyAlignment="1">
      <alignment shrinkToFit="1"/>
    </xf>
    <xf numFmtId="0" fontId="43" fillId="0" borderId="0" xfId="0" applyFont="1"/>
    <xf numFmtId="0" fontId="43" fillId="0" borderId="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18" fillId="0" borderId="18" xfId="0" applyFont="1" applyBorder="1" applyAlignment="1">
      <alignment vertical="center"/>
    </xf>
    <xf numFmtId="0" fontId="0" fillId="0" borderId="7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24" borderId="94" xfId="0" applyFont="1" applyFill="1" applyBorder="1" applyAlignment="1">
      <alignment horizontal="center" vertical="center"/>
    </xf>
    <xf numFmtId="20" fontId="0" fillId="0" borderId="0" xfId="0" applyNumberFormat="1" applyFont="1" applyAlignment="1">
      <alignment vertical="center"/>
    </xf>
    <xf numFmtId="1" fontId="19" fillId="0" borderId="18" xfId="0" applyNumberFormat="1" applyFont="1" applyBorder="1" applyAlignment="1">
      <alignment horizontal="center" shrinkToFit="1"/>
    </xf>
    <xf numFmtId="1" fontId="19" fillId="0" borderId="16" xfId="0" applyNumberFormat="1" applyFont="1" applyBorder="1" applyAlignment="1">
      <alignment horizontal="center" shrinkToFit="1"/>
    </xf>
    <xf numFmtId="0" fontId="0" fillId="0" borderId="0" xfId="0" applyFont="1" applyAlignment="1">
      <alignment vertical="center" shrinkToFit="1"/>
    </xf>
    <xf numFmtId="0" fontId="0" fillId="24" borderId="14" xfId="0" applyFont="1" applyFill="1" applyBorder="1" applyAlignment="1">
      <alignment horizontal="center" vertical="center" shrinkToFit="1"/>
    </xf>
    <xf numFmtId="0" fontId="0" fillId="24" borderId="80" xfId="0" applyFont="1" applyFill="1" applyBorder="1" applyAlignment="1">
      <alignment horizontal="center" vertical="center" shrinkToFit="1"/>
    </xf>
    <xf numFmtId="0" fontId="0" fillId="24" borderId="18" xfId="0" applyFont="1" applyFill="1" applyBorder="1" applyAlignment="1">
      <alignment horizontal="center" vertical="center" shrinkToFit="1"/>
    </xf>
    <xf numFmtId="0" fontId="0" fillId="24" borderId="27" xfId="0" applyFont="1" applyFill="1" applyBorder="1" applyAlignment="1">
      <alignment horizontal="center" vertical="center" shrinkToFit="1"/>
    </xf>
    <xf numFmtId="0" fontId="0" fillId="24" borderId="95" xfId="0" applyFont="1" applyFill="1" applyBorder="1" applyAlignment="1">
      <alignment horizontal="center" vertical="center" shrinkToFit="1"/>
    </xf>
    <xf numFmtId="0" fontId="0" fillId="24" borderId="46" xfId="0" applyFont="1" applyFill="1" applyBorder="1" applyAlignment="1">
      <alignment horizontal="center" vertical="center" shrinkToFit="1"/>
    </xf>
    <xf numFmtId="14" fontId="0" fillId="0" borderId="0" xfId="0" applyNumberFormat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98" xfId="0" applyFont="1" applyBorder="1" applyAlignment="1">
      <alignment vertical="center"/>
    </xf>
    <xf numFmtId="0" fontId="18" fillId="0" borderId="99" xfId="0" applyFont="1" applyBorder="1" applyAlignment="1">
      <alignment vertical="center"/>
    </xf>
    <xf numFmtId="0" fontId="18" fillId="0" borderId="100" xfId="0" applyFont="1" applyBorder="1" applyAlignment="1">
      <alignment vertical="center"/>
    </xf>
    <xf numFmtId="0" fontId="18" fillId="0" borderId="101" xfId="0" applyFont="1" applyBorder="1" applyAlignment="1">
      <alignment vertical="center"/>
    </xf>
    <xf numFmtId="0" fontId="18" fillId="0" borderId="102" xfId="0" applyFont="1" applyBorder="1" applyAlignment="1">
      <alignment vertical="center"/>
    </xf>
    <xf numFmtId="0" fontId="18" fillId="0" borderId="103" xfId="0" applyFont="1" applyBorder="1" applyAlignment="1">
      <alignment vertical="center"/>
    </xf>
    <xf numFmtId="0" fontId="18" fillId="0" borderId="104" xfId="0" applyFont="1" applyBorder="1" applyAlignment="1">
      <alignment vertical="center"/>
    </xf>
    <xf numFmtId="0" fontId="18" fillId="0" borderId="105" xfId="0" applyFont="1" applyBorder="1" applyAlignment="1">
      <alignment vertical="center"/>
    </xf>
    <xf numFmtId="0" fontId="18" fillId="0" borderId="106" xfId="0" applyFont="1" applyBorder="1" applyAlignment="1">
      <alignment vertical="center"/>
    </xf>
    <xf numFmtId="0" fontId="18" fillId="0" borderId="107" xfId="0" applyFont="1" applyBorder="1" applyAlignment="1">
      <alignment vertical="center"/>
    </xf>
    <xf numFmtId="0" fontId="18" fillId="0" borderId="108" xfId="0" applyFont="1" applyBorder="1" applyAlignment="1">
      <alignment vertical="center"/>
    </xf>
    <xf numFmtId="0" fontId="18" fillId="0" borderId="109" xfId="0" applyFont="1" applyBorder="1" applyAlignment="1">
      <alignment vertical="center"/>
    </xf>
    <xf numFmtId="0" fontId="18" fillId="0" borderId="110" xfId="0" applyFont="1" applyBorder="1" applyAlignment="1">
      <alignment vertical="center"/>
    </xf>
    <xf numFmtId="0" fontId="18" fillId="0" borderId="111" xfId="0" applyFont="1" applyBorder="1" applyAlignment="1">
      <alignment vertical="center"/>
    </xf>
    <xf numFmtId="0" fontId="18" fillId="0" borderId="112" xfId="0" applyFont="1" applyBorder="1" applyAlignment="1">
      <alignment vertical="center"/>
    </xf>
    <xf numFmtId="0" fontId="18" fillId="0" borderId="113" xfId="0" applyFont="1" applyBorder="1" applyAlignment="1">
      <alignment vertical="center"/>
    </xf>
    <xf numFmtId="0" fontId="18" fillId="0" borderId="114" xfId="0" applyFont="1" applyBorder="1" applyAlignment="1">
      <alignment vertical="center"/>
    </xf>
    <xf numFmtId="0" fontId="18" fillId="0" borderId="115" xfId="0" applyFont="1" applyBorder="1" applyAlignment="1">
      <alignment vertical="center"/>
    </xf>
    <xf numFmtId="0" fontId="18" fillId="0" borderId="116" xfId="0" applyFont="1" applyBorder="1" applyAlignment="1">
      <alignment vertical="center"/>
    </xf>
    <xf numFmtId="0" fontId="18" fillId="0" borderId="117" xfId="0" applyFont="1" applyBorder="1" applyAlignment="1">
      <alignment vertical="center"/>
    </xf>
    <xf numFmtId="0" fontId="18" fillId="0" borderId="118" xfId="0" applyFont="1" applyBorder="1" applyAlignment="1">
      <alignment vertical="center"/>
    </xf>
    <xf numFmtId="0" fontId="18" fillId="0" borderId="119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54" fillId="25" borderId="18" xfId="0" applyFont="1" applyFill="1" applyBorder="1" applyAlignment="1">
      <alignment vertical="center"/>
    </xf>
    <xf numFmtId="0" fontId="54" fillId="25" borderId="18" xfId="0" applyFont="1" applyFill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/>
    </xf>
    <xf numFmtId="0" fontId="0" fillId="24" borderId="46" xfId="0" applyFont="1" applyFill="1" applyBorder="1" applyAlignment="1">
      <alignment horizontal="center" vertical="center"/>
    </xf>
    <xf numFmtId="0" fontId="0" fillId="24" borderId="60" xfId="0" applyFont="1" applyFill="1" applyBorder="1" applyAlignment="1">
      <alignment vertical="center"/>
    </xf>
    <xf numFmtId="0" fontId="19" fillId="0" borderId="12" xfId="0" applyFont="1" applyBorder="1" applyAlignment="1">
      <alignment shrinkToFit="1"/>
    </xf>
    <xf numFmtId="0" fontId="52" fillId="0" borderId="12" xfId="0" applyFont="1" applyBorder="1" applyAlignment="1">
      <alignment shrinkToFit="1"/>
    </xf>
    <xf numFmtId="0" fontId="52" fillId="0" borderId="12" xfId="0" applyFont="1" applyBorder="1" applyAlignment="1"/>
    <xf numFmtId="0" fontId="53" fillId="0" borderId="41" xfId="0" applyFont="1" applyBorder="1" applyAlignment="1">
      <alignment vertical="center"/>
    </xf>
    <xf numFmtId="0" fontId="53" fillId="0" borderId="62" xfId="0" applyFont="1" applyBorder="1" applyAlignment="1">
      <alignment vertical="center"/>
    </xf>
    <xf numFmtId="0" fontId="53" fillId="0" borderId="88" xfId="0" applyFont="1" applyBorder="1" applyAlignment="1">
      <alignment vertical="center"/>
    </xf>
    <xf numFmtId="0" fontId="55" fillId="0" borderId="167" xfId="0" applyFont="1" applyBorder="1" applyAlignment="1">
      <alignment vertical="center"/>
    </xf>
    <xf numFmtId="0" fontId="19" fillId="0" borderId="0" xfId="0" applyFont="1" applyFill="1"/>
    <xf numFmtId="0" fontId="18" fillId="26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 shrinkToFit="1"/>
    </xf>
    <xf numFmtId="0" fontId="38" fillId="26" borderId="61" xfId="0" applyFont="1" applyFill="1" applyBorder="1" applyAlignment="1">
      <alignment horizontal="center" vertical="center"/>
    </xf>
    <xf numFmtId="0" fontId="18" fillId="0" borderId="18" xfId="0" applyFont="1" applyBorder="1" applyAlignment="1">
      <alignment vertical="center" shrinkToFit="1"/>
    </xf>
    <xf numFmtId="0" fontId="18" fillId="0" borderId="39" xfId="0" applyFont="1" applyBorder="1" applyAlignment="1">
      <alignment vertical="center" shrinkToFit="1"/>
    </xf>
    <xf numFmtId="0" fontId="18" fillId="0" borderId="37" xfId="0" applyFont="1" applyBorder="1" applyAlignment="1">
      <alignment vertical="center" shrinkToFit="1"/>
    </xf>
    <xf numFmtId="0" fontId="18" fillId="0" borderId="38" xfId="0" applyFont="1" applyBorder="1" applyAlignment="1">
      <alignment vertical="center" shrinkToFit="1"/>
    </xf>
    <xf numFmtId="0" fontId="50" fillId="0" borderId="18" xfId="0" applyFont="1" applyBorder="1" applyAlignment="1">
      <alignment vertical="center" shrinkToFit="1"/>
    </xf>
    <xf numFmtId="0" fontId="50" fillId="0" borderId="39" xfId="0" applyFont="1" applyBorder="1" applyAlignment="1">
      <alignment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0" fillId="26" borderId="120" xfId="0" applyFill="1" applyBorder="1" applyAlignment="1">
      <alignment horizontal="center" vertical="center" shrinkToFit="1"/>
    </xf>
    <xf numFmtId="0" fontId="0" fillId="26" borderId="121" xfId="0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120" xfId="0" applyFont="1" applyBorder="1" applyAlignment="1">
      <alignment horizontal="center" vertical="center"/>
    </xf>
    <xf numFmtId="0" fontId="18" fillId="0" borderId="121" xfId="0" applyFont="1" applyBorder="1" applyAlignment="1">
      <alignment horizontal="center" vertical="center"/>
    </xf>
    <xf numFmtId="0" fontId="0" fillId="26" borderId="120" xfId="0" applyFont="1" applyFill="1" applyBorder="1" applyAlignment="1">
      <alignment horizontal="center" vertical="center" shrinkToFit="1"/>
    </xf>
    <xf numFmtId="0" fontId="0" fillId="26" borderId="121" xfId="0" applyFont="1" applyFill="1" applyBorder="1" applyAlignment="1">
      <alignment horizontal="center" vertical="center" shrinkToFit="1"/>
    </xf>
    <xf numFmtId="14" fontId="38" fillId="26" borderId="61" xfId="0" applyNumberFormat="1" applyFont="1" applyFill="1" applyBorder="1" applyAlignment="1">
      <alignment horizontal="center" vertical="center"/>
    </xf>
    <xf numFmtId="0" fontId="38" fillId="26" borderId="61" xfId="0" applyFont="1" applyFill="1" applyBorder="1" applyAlignment="1">
      <alignment horizontal="center" vertical="center"/>
    </xf>
    <xf numFmtId="0" fontId="18" fillId="0" borderId="122" xfId="0" applyFont="1" applyBorder="1" applyAlignment="1">
      <alignment horizontal="center" vertical="center"/>
    </xf>
    <xf numFmtId="0" fontId="18" fillId="0" borderId="123" xfId="0" applyFont="1" applyBorder="1" applyAlignment="1">
      <alignment horizontal="center" vertical="center"/>
    </xf>
    <xf numFmtId="0" fontId="18" fillId="0" borderId="124" xfId="0" applyFont="1" applyBorder="1" applyAlignment="1">
      <alignment horizontal="center" vertical="center"/>
    </xf>
    <xf numFmtId="0" fontId="18" fillId="0" borderId="125" xfId="0" applyFont="1" applyBorder="1" applyAlignment="1">
      <alignment horizontal="center" vertical="center"/>
    </xf>
    <xf numFmtId="0" fontId="38" fillId="26" borderId="0" xfId="0" applyFont="1" applyFill="1" applyAlignment="1">
      <alignment horizontal="center" vertical="center"/>
    </xf>
    <xf numFmtId="0" fontId="23" fillId="0" borderId="39" xfId="0" applyFont="1" applyBorder="1" applyAlignment="1">
      <alignment horizontal="right" vertical="center"/>
    </xf>
    <xf numFmtId="0" fontId="23" fillId="0" borderId="38" xfId="0" applyFont="1" applyBorder="1" applyAlignment="1">
      <alignment horizontal="center" vertical="center"/>
    </xf>
    <xf numFmtId="0" fontId="23" fillId="0" borderId="126" xfId="0" applyFont="1" applyBorder="1" applyAlignment="1">
      <alignment horizontal="right" vertical="center"/>
    </xf>
    <xf numFmtId="0" fontId="23" fillId="0" borderId="86" xfId="0" applyFont="1" applyBorder="1" applyAlignment="1">
      <alignment horizontal="center" vertical="center"/>
    </xf>
    <xf numFmtId="0" fontId="23" fillId="0" borderId="127" xfId="0" applyFont="1" applyBorder="1" applyAlignment="1">
      <alignment horizontal="right" vertical="center"/>
    </xf>
    <xf numFmtId="0" fontId="23" fillId="0" borderId="87" xfId="0" applyFont="1" applyBorder="1" applyAlignment="1">
      <alignment horizontal="center" vertical="center"/>
    </xf>
    <xf numFmtId="0" fontId="23" fillId="0" borderId="128" xfId="0" applyFont="1" applyBorder="1" applyAlignment="1">
      <alignment horizontal="right" vertical="center"/>
    </xf>
    <xf numFmtId="0" fontId="23" fillId="0" borderId="71" xfId="0" applyFont="1" applyBorder="1" applyAlignment="1">
      <alignment horizontal="right" vertical="center"/>
    </xf>
    <xf numFmtId="0" fontId="32" fillId="0" borderId="39" xfId="0" applyFont="1" applyBorder="1" applyAlignment="1">
      <alignment horizontal="right" vertical="center"/>
    </xf>
    <xf numFmtId="0" fontId="32" fillId="0" borderId="38" xfId="0" applyFont="1" applyBorder="1" applyAlignment="1">
      <alignment horizontal="right" vertical="center"/>
    </xf>
    <xf numFmtId="0" fontId="23" fillId="0" borderId="129" xfId="0" applyFont="1" applyBorder="1" applyAlignment="1">
      <alignment horizontal="right" vertical="center"/>
    </xf>
    <xf numFmtId="0" fontId="23" fillId="0" borderId="85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32" fillId="0" borderId="129" xfId="0" applyFont="1" applyBorder="1" applyAlignment="1">
      <alignment horizontal="right" vertical="center"/>
    </xf>
    <xf numFmtId="0" fontId="32" fillId="0" borderId="85" xfId="0" applyFont="1" applyBorder="1" applyAlignment="1">
      <alignment horizontal="right" vertical="center"/>
    </xf>
    <xf numFmtId="0" fontId="23" fillId="0" borderId="57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87" xfId="0" applyFont="1" applyBorder="1" applyAlignment="1">
      <alignment horizontal="right" vertical="center"/>
    </xf>
    <xf numFmtId="0" fontId="22" fillId="0" borderId="90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3" fillId="0" borderId="38" xfId="0" applyFont="1" applyBorder="1" applyAlignment="1">
      <alignment horizontal="right" vertical="center"/>
    </xf>
    <xf numFmtId="0" fontId="23" fillId="0" borderId="130" xfId="0" applyFont="1" applyBorder="1" applyAlignment="1">
      <alignment horizontal="center" vertical="center"/>
    </xf>
    <xf numFmtId="0" fontId="32" fillId="0" borderId="127" xfId="0" applyFont="1" applyBorder="1" applyAlignment="1">
      <alignment horizontal="right" vertical="center"/>
    </xf>
    <xf numFmtId="0" fontId="32" fillId="0" borderId="87" xfId="0" applyFont="1" applyBorder="1" applyAlignment="1">
      <alignment horizontal="right" vertical="center"/>
    </xf>
    <xf numFmtId="0" fontId="23" fillId="0" borderId="85" xfId="0" applyFont="1" applyBorder="1" applyAlignment="1">
      <alignment horizontal="right" vertical="center"/>
    </xf>
    <xf numFmtId="0" fontId="32" fillId="0" borderId="126" xfId="0" applyFont="1" applyBorder="1" applyAlignment="1">
      <alignment horizontal="right" vertical="center"/>
    </xf>
    <xf numFmtId="0" fontId="32" fillId="0" borderId="86" xfId="0" applyFont="1" applyBorder="1" applyAlignment="1">
      <alignment horizontal="right" vertical="center"/>
    </xf>
    <xf numFmtId="0" fontId="33" fillId="0" borderId="90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86" xfId="0" applyFont="1" applyBorder="1" applyAlignment="1">
      <alignment horizontal="right" vertical="center"/>
    </xf>
    <xf numFmtId="1" fontId="23" fillId="0" borderId="39" xfId="0" applyNumberFormat="1" applyFont="1" applyBorder="1" applyAlignment="1">
      <alignment horizontal="right" vertical="center"/>
    </xf>
    <xf numFmtId="1" fontId="23" fillId="0" borderId="38" xfId="0" applyNumberFormat="1" applyFont="1" applyBorder="1" applyAlignment="1">
      <alignment horizontal="right" vertical="center"/>
    </xf>
    <xf numFmtId="1" fontId="32" fillId="0" borderId="39" xfId="0" applyNumberFormat="1" applyFont="1" applyBorder="1" applyAlignment="1">
      <alignment horizontal="right" vertical="center"/>
    </xf>
    <xf numFmtId="1" fontId="32" fillId="0" borderId="38" xfId="0" applyNumberFormat="1" applyFont="1" applyBorder="1" applyAlignment="1">
      <alignment horizontal="right" vertical="center"/>
    </xf>
    <xf numFmtId="0" fontId="23" fillId="0" borderId="5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71" xfId="0" applyFont="1" applyBorder="1" applyAlignment="1">
      <alignment horizontal="center" vertical="center" shrinkToFit="1"/>
    </xf>
    <xf numFmtId="0" fontId="20" fillId="0" borderId="131" xfId="0" applyFont="1" applyBorder="1" applyAlignment="1">
      <alignment horizontal="center" vertical="center" textRotation="255"/>
    </xf>
    <xf numFmtId="0" fontId="20" fillId="0" borderId="59" xfId="0" applyFont="1" applyBorder="1" applyAlignment="1">
      <alignment horizontal="center" vertical="center" textRotation="255"/>
    </xf>
    <xf numFmtId="0" fontId="20" fillId="0" borderId="22" xfId="0" applyFont="1" applyBorder="1" applyAlignment="1">
      <alignment horizontal="center" vertical="center" textRotation="255"/>
    </xf>
    <xf numFmtId="0" fontId="22" fillId="0" borderId="13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  <xf numFmtId="0" fontId="22" fillId="0" borderId="91" xfId="0" applyFont="1" applyBorder="1" applyAlignment="1">
      <alignment horizontal="center" vertical="center" shrinkToFit="1"/>
    </xf>
    <xf numFmtId="0" fontId="23" fillId="0" borderId="57" xfId="0" applyFont="1" applyBorder="1" applyAlignment="1">
      <alignment horizontal="center" vertical="center" shrinkToFit="1"/>
    </xf>
    <xf numFmtId="0" fontId="23" fillId="0" borderId="64" xfId="0" applyFont="1" applyBorder="1" applyAlignment="1">
      <alignment horizontal="center" vertical="center" shrinkToFit="1"/>
    </xf>
    <xf numFmtId="0" fontId="23" fillId="0" borderId="13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shrinkToFit="1"/>
    </xf>
    <xf numFmtId="0" fontId="23" fillId="0" borderId="128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1" fontId="23" fillId="0" borderId="56" xfId="0" applyNumberFormat="1" applyFont="1" applyBorder="1" applyAlignment="1">
      <alignment horizontal="center" vertical="center"/>
    </xf>
    <xf numFmtId="1" fontId="23" fillId="0" borderId="38" xfId="0" applyNumberFormat="1" applyFont="1" applyBorder="1" applyAlignment="1">
      <alignment horizontal="center" vertical="center"/>
    </xf>
    <xf numFmtId="0" fontId="23" fillId="0" borderId="132" xfId="0" applyFont="1" applyBorder="1" applyAlignment="1">
      <alignment horizontal="right" vertical="center"/>
    </xf>
    <xf numFmtId="14" fontId="23" fillId="0" borderId="0" xfId="0" applyNumberFormat="1" applyFont="1" applyBorder="1" applyAlignment="1">
      <alignment horizontal="center"/>
    </xf>
    <xf numFmtId="0" fontId="40" fillId="0" borderId="90" xfId="0" applyFont="1" applyBorder="1" applyAlignment="1">
      <alignment horizontal="center" vertical="center" shrinkToFit="1"/>
    </xf>
    <xf numFmtId="0" fontId="40" fillId="0" borderId="89" xfId="0" applyFont="1" applyBorder="1" applyAlignment="1">
      <alignment horizontal="center" vertical="center" shrinkToFit="1"/>
    </xf>
    <xf numFmtId="0" fontId="36" fillId="0" borderId="129" xfId="0" applyFont="1" applyBorder="1" applyAlignment="1">
      <alignment horizontal="center" shrinkToFit="1"/>
    </xf>
    <xf numFmtId="0" fontId="36" fillId="0" borderId="85" xfId="0" applyFont="1" applyBorder="1" applyAlignment="1">
      <alignment horizontal="center" shrinkToFit="1"/>
    </xf>
    <xf numFmtId="0" fontId="36" fillId="0" borderId="39" xfId="0" applyFont="1" applyBorder="1" applyAlignment="1">
      <alignment horizontal="center" shrinkToFit="1"/>
    </xf>
    <xf numFmtId="0" fontId="36" fillId="0" borderId="38" xfId="0" applyFont="1" applyBorder="1" applyAlignment="1">
      <alignment horizontal="center" shrinkToFit="1"/>
    </xf>
    <xf numFmtId="0" fontId="41" fillId="0" borderId="72" xfId="0" applyFont="1" applyBorder="1" applyAlignment="1">
      <alignment horizontal="center" vertical="center" shrinkToFit="1"/>
    </xf>
    <xf numFmtId="0" fontId="41" fillId="0" borderId="74" xfId="0" applyFont="1" applyBorder="1" applyAlignment="1">
      <alignment horizontal="center" vertical="center" shrinkToFit="1"/>
    </xf>
    <xf numFmtId="0" fontId="41" fillId="0" borderId="90" xfId="0" applyFont="1" applyBorder="1" applyAlignment="1">
      <alignment horizontal="center" vertical="center" shrinkToFit="1"/>
    </xf>
    <xf numFmtId="0" fontId="41" fillId="0" borderId="63" xfId="0" applyFont="1" applyBorder="1" applyAlignment="1">
      <alignment horizontal="center" vertical="center" shrinkToFit="1"/>
    </xf>
    <xf numFmtId="0" fontId="19" fillId="0" borderId="129" xfId="0" applyFont="1" applyBorder="1" applyAlignment="1">
      <alignment horizontal="left" shrinkToFit="1"/>
    </xf>
    <xf numFmtId="0" fontId="19" fillId="0" borderId="64" xfId="0" applyFont="1" applyBorder="1" applyAlignment="1">
      <alignment horizontal="left" shrinkToFit="1"/>
    </xf>
    <xf numFmtId="0" fontId="19" fillId="0" borderId="39" xfId="0" applyFont="1" applyBorder="1" applyAlignment="1">
      <alignment horizontal="left" shrinkToFit="1"/>
    </xf>
    <xf numFmtId="0" fontId="19" fillId="0" borderId="37" xfId="0" applyFont="1" applyBorder="1" applyAlignment="1">
      <alignment horizontal="left" shrinkToFit="1"/>
    </xf>
    <xf numFmtId="0" fontId="19" fillId="0" borderId="76" xfId="0" applyFont="1" applyBorder="1" applyAlignment="1">
      <alignment horizontal="left" shrinkToFit="1"/>
    </xf>
    <xf numFmtId="0" fontId="19" fillId="0" borderId="73" xfId="0" applyFont="1" applyBorder="1" applyAlignment="1">
      <alignment horizontal="left" shrinkToFit="1"/>
    </xf>
    <xf numFmtId="0" fontId="41" fillId="0" borderId="13" xfId="0" applyFont="1" applyBorder="1" applyAlignment="1">
      <alignment horizontal="center" shrinkToFit="1"/>
    </xf>
    <xf numFmtId="0" fontId="41" fillId="0" borderId="89" xfId="0" applyFont="1" applyBorder="1" applyAlignment="1">
      <alignment horizontal="center" shrinkToFit="1"/>
    </xf>
    <xf numFmtId="0" fontId="41" fillId="0" borderId="57" xfId="0" applyFont="1" applyBorder="1" applyAlignment="1">
      <alignment horizontal="center" vertical="center" shrinkToFit="1"/>
    </xf>
    <xf numFmtId="0" fontId="41" fillId="0" borderId="85" xfId="0" applyFont="1" applyBorder="1" applyAlignment="1">
      <alignment horizontal="center" vertical="center" shrinkToFit="1"/>
    </xf>
    <xf numFmtId="0" fontId="41" fillId="0" borderId="56" xfId="0" applyFont="1" applyBorder="1" applyAlignment="1">
      <alignment horizontal="center" vertical="center" shrinkToFit="1"/>
    </xf>
    <xf numFmtId="0" fontId="41" fillId="0" borderId="38" xfId="0" applyFont="1" applyBorder="1" applyAlignment="1">
      <alignment horizontal="center" vertical="center" shrinkToFit="1"/>
    </xf>
    <xf numFmtId="0" fontId="19" fillId="0" borderId="129" xfId="0" applyFont="1" applyBorder="1" applyAlignment="1">
      <alignment horizontal="center" shrinkToFit="1"/>
    </xf>
    <xf numFmtId="0" fontId="19" fillId="0" borderId="132" xfId="0" applyFont="1" applyBorder="1" applyAlignment="1">
      <alignment horizontal="center" shrinkToFit="1"/>
    </xf>
    <xf numFmtId="0" fontId="19" fillId="0" borderId="72" xfId="0" applyFont="1" applyBorder="1" applyAlignment="1">
      <alignment horizontal="center" shrinkToFit="1"/>
    </xf>
    <xf numFmtId="0" fontId="19" fillId="0" borderId="74" xfId="0" applyFont="1" applyBorder="1" applyAlignment="1">
      <alignment horizontal="center" shrinkToFit="1"/>
    </xf>
    <xf numFmtId="0" fontId="19" fillId="0" borderId="76" xfId="0" applyFont="1" applyBorder="1" applyAlignment="1">
      <alignment horizontal="center" shrinkToFit="1"/>
    </xf>
    <xf numFmtId="0" fontId="19" fillId="0" borderId="133" xfId="0" applyFont="1" applyBorder="1" applyAlignment="1">
      <alignment horizontal="center" shrinkToFit="1"/>
    </xf>
    <xf numFmtId="0" fontId="19" fillId="0" borderId="134" xfId="0" applyFont="1" applyBorder="1" applyAlignment="1">
      <alignment horizontal="center" shrinkToFit="1"/>
    </xf>
    <xf numFmtId="0" fontId="19" fillId="0" borderId="135" xfId="0" applyFont="1" applyBorder="1" applyAlignment="1">
      <alignment horizontal="center" shrinkToFit="1"/>
    </xf>
    <xf numFmtId="0" fontId="19" fillId="0" borderId="136" xfId="0" applyFont="1" applyBorder="1" applyAlignment="1">
      <alignment horizontal="center" shrinkToFit="1"/>
    </xf>
    <xf numFmtId="0" fontId="19" fillId="0" borderId="85" xfId="0" applyFont="1" applyBorder="1" applyAlignment="1">
      <alignment horizontal="center" shrinkToFit="1"/>
    </xf>
    <xf numFmtId="0" fontId="36" fillId="0" borderId="76" xfId="0" applyFont="1" applyBorder="1" applyAlignment="1">
      <alignment horizontal="center" shrinkToFit="1"/>
    </xf>
    <xf numFmtId="0" fontId="36" fillId="0" borderId="74" xfId="0" applyFont="1" applyBorder="1" applyAlignment="1">
      <alignment horizontal="center" shrinkToFit="1"/>
    </xf>
    <xf numFmtId="0" fontId="19" fillId="0" borderId="56" xfId="0" applyFont="1" applyBorder="1" applyAlignment="1">
      <alignment horizontal="center" shrinkToFit="1"/>
    </xf>
    <xf numFmtId="0" fontId="19" fillId="0" borderId="38" xfId="0" applyFont="1" applyBorder="1" applyAlignment="1">
      <alignment horizontal="center" shrinkToFit="1"/>
    </xf>
    <xf numFmtId="0" fontId="19" fillId="0" borderId="137" xfId="0" applyFont="1" applyBorder="1" applyAlignment="1">
      <alignment horizontal="center" shrinkToFit="1"/>
    </xf>
    <xf numFmtId="0" fontId="19" fillId="0" borderId="138" xfId="0" applyFont="1" applyBorder="1" applyAlignment="1">
      <alignment horizontal="center" shrinkToFit="1"/>
    </xf>
    <xf numFmtId="0" fontId="19" fillId="0" borderId="39" xfId="0" applyFont="1" applyBorder="1" applyAlignment="1">
      <alignment horizontal="center" shrinkToFit="1"/>
    </xf>
    <xf numFmtId="0" fontId="19" fillId="0" borderId="71" xfId="0" applyFont="1" applyBorder="1" applyAlignment="1">
      <alignment horizontal="center" shrinkToFit="1"/>
    </xf>
    <xf numFmtId="0" fontId="41" fillId="0" borderId="13" xfId="0" applyFont="1" applyBorder="1" applyAlignment="1">
      <alignment horizontal="center" vertical="center" shrinkToFit="1"/>
    </xf>
    <xf numFmtId="0" fontId="41" fillId="0" borderId="89" xfId="0" applyFont="1" applyBorder="1" applyAlignment="1">
      <alignment horizontal="center" vertical="center" shrinkToFit="1"/>
    </xf>
    <xf numFmtId="0" fontId="41" fillId="0" borderId="91" xfId="0" applyFont="1" applyBorder="1" applyAlignment="1">
      <alignment horizontal="center" vertical="center" shrinkToFit="1"/>
    </xf>
    <xf numFmtId="14" fontId="0" fillId="0" borderId="0" xfId="0" applyNumberFormat="1" applyFont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34" fillId="0" borderId="122" xfId="0" applyFont="1" applyBorder="1" applyAlignment="1">
      <alignment horizontal="center" vertical="center"/>
    </xf>
    <xf numFmtId="0" fontId="34" fillId="0" borderId="139" xfId="0" applyFont="1" applyBorder="1" applyAlignment="1">
      <alignment horizontal="center" vertical="center"/>
    </xf>
    <xf numFmtId="0" fontId="34" fillId="0" borderId="140" xfId="0" applyFont="1" applyBorder="1" applyAlignment="1">
      <alignment horizontal="center" vertical="center"/>
    </xf>
    <xf numFmtId="0" fontId="34" fillId="0" borderId="127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41" xfId="0" applyFont="1" applyBorder="1" applyAlignment="1">
      <alignment horizontal="center" vertical="center"/>
    </xf>
    <xf numFmtId="0" fontId="25" fillId="0" borderId="142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1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3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4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144" xfId="0" applyFont="1" applyBorder="1" applyAlignment="1">
      <alignment horizontal="center" vertical="center"/>
    </xf>
    <xf numFmtId="0" fontId="34" fillId="0" borderId="145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125" xfId="0" applyFont="1" applyBorder="1" applyAlignment="1">
      <alignment horizontal="center" vertical="center"/>
    </xf>
    <xf numFmtId="0" fontId="34" fillId="0" borderId="146" xfId="0" applyFont="1" applyBorder="1" applyAlignment="1">
      <alignment horizontal="center" vertical="center"/>
    </xf>
    <xf numFmtId="0" fontId="34" fillId="0" borderId="147" xfId="0" applyFont="1" applyBorder="1" applyAlignment="1">
      <alignment horizontal="center" vertical="center"/>
    </xf>
    <xf numFmtId="0" fontId="34" fillId="0" borderId="148" xfId="0" applyFont="1" applyBorder="1" applyAlignment="1">
      <alignment horizontal="center" vertical="center"/>
    </xf>
    <xf numFmtId="0" fontId="34" fillId="0" borderId="149" xfId="0" applyFont="1" applyBorder="1" applyAlignment="1">
      <alignment horizontal="center" vertical="center"/>
    </xf>
    <xf numFmtId="0" fontId="34" fillId="0" borderId="150" xfId="0" applyFont="1" applyBorder="1" applyAlignment="1">
      <alignment horizontal="center" vertical="center"/>
    </xf>
    <xf numFmtId="0" fontId="34" fillId="0" borderId="151" xfId="0" applyFont="1" applyBorder="1" applyAlignment="1">
      <alignment horizontal="center" vertical="center"/>
    </xf>
    <xf numFmtId="0" fontId="34" fillId="0" borderId="152" xfId="0" applyFont="1" applyBorder="1" applyAlignment="1">
      <alignment horizontal="center" vertical="center"/>
    </xf>
    <xf numFmtId="0" fontId="34" fillId="0" borderId="153" xfId="0" applyFont="1" applyBorder="1" applyAlignment="1">
      <alignment horizontal="center" vertical="center"/>
    </xf>
    <xf numFmtId="0" fontId="34" fillId="0" borderId="154" xfId="0" applyFont="1" applyBorder="1" applyAlignment="1">
      <alignment horizontal="center" vertical="center"/>
    </xf>
    <xf numFmtId="0" fontId="34" fillId="0" borderId="155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124" xfId="0" applyFont="1" applyBorder="1" applyAlignment="1">
      <alignment horizontal="center" vertical="center"/>
    </xf>
    <xf numFmtId="0" fontId="34" fillId="0" borderId="156" xfId="0" applyFont="1" applyBorder="1" applyAlignment="1">
      <alignment horizontal="center" vertical="center"/>
    </xf>
    <xf numFmtId="0" fontId="34" fillId="0" borderId="157" xfId="0" applyFont="1" applyBorder="1" applyAlignment="1">
      <alignment horizontal="center" vertical="center"/>
    </xf>
    <xf numFmtId="0" fontId="34" fillId="0" borderId="123" xfId="0" applyFont="1" applyBorder="1" applyAlignment="1">
      <alignment horizontal="center" vertical="center"/>
    </xf>
    <xf numFmtId="0" fontId="34" fillId="0" borderId="130" xfId="0" applyFont="1" applyBorder="1" applyAlignment="1">
      <alignment horizontal="center" vertical="center"/>
    </xf>
    <xf numFmtId="0" fontId="34" fillId="0" borderId="87" xfId="0" applyFont="1" applyBorder="1" applyAlignment="1">
      <alignment horizontal="center" vertical="center"/>
    </xf>
    <xf numFmtId="0" fontId="34" fillId="0" borderId="158" xfId="0" applyFont="1" applyBorder="1" applyAlignment="1">
      <alignment horizontal="center" vertical="center"/>
    </xf>
    <xf numFmtId="0" fontId="34" fillId="0" borderId="159" xfId="0" applyFont="1" applyBorder="1" applyAlignment="1">
      <alignment horizontal="center" vertical="center"/>
    </xf>
    <xf numFmtId="0" fontId="34" fillId="0" borderId="160" xfId="0" applyFont="1" applyBorder="1" applyAlignment="1">
      <alignment horizontal="center" vertical="center"/>
    </xf>
    <xf numFmtId="0" fontId="34" fillId="0" borderId="161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14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87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144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162" xfId="0" applyFont="1" applyBorder="1" applyAlignment="1">
      <alignment horizontal="center" vertical="center"/>
    </xf>
    <xf numFmtId="0" fontId="46" fillId="0" borderId="142" xfId="0" applyFont="1" applyBorder="1" applyAlignment="1">
      <alignment horizontal="center" vertical="center"/>
    </xf>
    <xf numFmtId="0" fontId="46" fillId="0" borderId="51" xfId="0" applyFont="1" applyBorder="1" applyAlignment="1">
      <alignment horizontal="center" vertical="center"/>
    </xf>
    <xf numFmtId="0" fontId="46" fillId="0" borderId="162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46" fillId="0" borderId="161" xfId="0" applyFont="1" applyBorder="1" applyAlignment="1">
      <alignment horizontal="center" vertical="center"/>
    </xf>
    <xf numFmtId="0" fontId="46" fillId="0" borderId="143" xfId="0" applyFont="1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5" fillId="0" borderId="155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4" fillId="0" borderId="16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4" fillId="0" borderId="127" xfId="0" applyFont="1" applyBorder="1" applyAlignment="1">
      <alignment horizontal="center" vertical="center"/>
    </xf>
    <xf numFmtId="0" fontId="44" fillId="0" borderId="143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176" fontId="44" fillId="0" borderId="52" xfId="0" applyNumberFormat="1" applyFont="1" applyBorder="1" applyAlignment="1">
      <alignment horizontal="center" vertical="center"/>
    </xf>
    <xf numFmtId="0" fontId="0" fillId="0" borderId="0" xfId="0"/>
    <xf numFmtId="0" fontId="0" fillId="0" borderId="53" xfId="0" applyBorder="1"/>
    <xf numFmtId="0" fontId="0" fillId="0" borderId="52" xfId="0" applyBorder="1"/>
    <xf numFmtId="0" fontId="0" fillId="0" borderId="51" xfId="0" applyBorder="1"/>
    <xf numFmtId="0" fontId="0" fillId="0" borderId="162" xfId="0" applyBorder="1"/>
    <xf numFmtId="0" fontId="44" fillId="0" borderId="155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141" xfId="0" applyFont="1" applyBorder="1" applyAlignment="1">
      <alignment horizontal="center" vertical="center"/>
    </xf>
    <xf numFmtId="0" fontId="0" fillId="0" borderId="29" xfId="0" applyBorder="1"/>
    <xf numFmtId="0" fontId="0" fillId="0" borderId="144" xfId="0" applyBorder="1"/>
    <xf numFmtId="176" fontId="44" fillId="0" borderId="0" xfId="0" applyNumberFormat="1" applyFont="1" applyBorder="1" applyAlignment="1">
      <alignment horizontal="center" vertical="center"/>
    </xf>
    <xf numFmtId="176" fontId="44" fillId="0" borderId="53" xfId="0" applyNumberFormat="1" applyFont="1" applyBorder="1" applyAlignment="1">
      <alignment horizontal="center" vertical="center"/>
    </xf>
    <xf numFmtId="176" fontId="44" fillId="0" borderId="127" xfId="0" applyNumberFormat="1" applyFont="1" applyBorder="1" applyAlignment="1">
      <alignment horizontal="center" vertical="center"/>
    </xf>
    <xf numFmtId="176" fontId="44" fillId="0" borderId="12" xfId="0" applyNumberFormat="1" applyFont="1" applyBorder="1" applyAlignment="1">
      <alignment horizontal="center" vertical="center"/>
    </xf>
    <xf numFmtId="176" fontId="44" fillId="0" borderId="8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3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63" xfId="0" applyFont="1" applyFill="1" applyBorder="1" applyAlignment="1">
      <alignment horizontal="center" vertical="center"/>
    </xf>
    <xf numFmtId="0" fontId="25" fillId="0" borderId="164" xfId="0" applyFont="1" applyFill="1" applyBorder="1" applyAlignment="1">
      <alignment horizontal="center" vertical="center"/>
    </xf>
    <xf numFmtId="0" fontId="34" fillId="0" borderId="165" xfId="0" applyFont="1" applyFill="1" applyBorder="1" applyAlignment="1">
      <alignment horizontal="center" vertical="center" shrinkToFit="1"/>
    </xf>
    <xf numFmtId="0" fontId="34" fillId="0" borderId="29" xfId="0" applyFont="1" applyFill="1" applyBorder="1" applyAlignment="1">
      <alignment horizontal="center" vertical="center" shrinkToFit="1"/>
    </xf>
    <xf numFmtId="0" fontId="34" fillId="0" borderId="166" xfId="0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horizontal="center" vertical="center" shrinkToFit="1"/>
    </xf>
    <xf numFmtId="0" fontId="34" fillId="0" borderId="29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141" xfId="0" applyFont="1" applyFill="1" applyBorder="1" applyAlignment="1">
      <alignment horizontal="center" vertical="center"/>
    </xf>
    <xf numFmtId="0" fontId="34" fillId="0" borderId="165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166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left" vertical="center"/>
    </xf>
    <xf numFmtId="0" fontId="34" fillId="0" borderId="141" xfId="0" applyFont="1" applyFill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66675</xdr:rowOff>
    </xdr:from>
    <xdr:to>
      <xdr:col>13</xdr:col>
      <xdr:colOff>85725</xdr:colOff>
      <xdr:row>11</xdr:row>
      <xdr:rowOff>85725</xdr:rowOff>
    </xdr:to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124075" y="19907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20</xdr:row>
      <xdr:rowOff>66675</xdr:rowOff>
    </xdr:from>
    <xdr:to>
      <xdr:col>13</xdr:col>
      <xdr:colOff>85725</xdr:colOff>
      <xdr:row>21</xdr:row>
      <xdr:rowOff>85725</xdr:rowOff>
    </xdr:to>
    <xdr:sp macro="" textlink="">
      <xdr:nvSpPr>
        <xdr:cNvPr id="10506" name="Text Box 3"/>
        <xdr:cNvSpPr txBox="1">
          <a:spLocks noChangeArrowheads="1"/>
        </xdr:cNvSpPr>
      </xdr:nvSpPr>
      <xdr:spPr bwMode="auto">
        <a:xfrm>
          <a:off x="2124075" y="3952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20</xdr:row>
      <xdr:rowOff>66675</xdr:rowOff>
    </xdr:from>
    <xdr:to>
      <xdr:col>13</xdr:col>
      <xdr:colOff>85725</xdr:colOff>
      <xdr:row>21</xdr:row>
      <xdr:rowOff>85725</xdr:rowOff>
    </xdr:to>
    <xdr:sp macro="" textlink="">
      <xdr:nvSpPr>
        <xdr:cNvPr id="10507" name="Text Box 4"/>
        <xdr:cNvSpPr txBox="1">
          <a:spLocks noChangeArrowheads="1"/>
        </xdr:cNvSpPr>
      </xdr:nvSpPr>
      <xdr:spPr bwMode="auto">
        <a:xfrm>
          <a:off x="2124075" y="3952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</xdr:row>
      <xdr:rowOff>66675</xdr:rowOff>
    </xdr:from>
    <xdr:to>
      <xdr:col>13</xdr:col>
      <xdr:colOff>85725</xdr:colOff>
      <xdr:row>31</xdr:row>
      <xdr:rowOff>85725</xdr:rowOff>
    </xdr:to>
    <xdr:sp macro="" textlink="">
      <xdr:nvSpPr>
        <xdr:cNvPr id="10508" name="Text Box 5"/>
        <xdr:cNvSpPr txBox="1">
          <a:spLocks noChangeArrowheads="1"/>
        </xdr:cNvSpPr>
      </xdr:nvSpPr>
      <xdr:spPr bwMode="auto">
        <a:xfrm>
          <a:off x="2124075" y="5915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</xdr:row>
      <xdr:rowOff>66675</xdr:rowOff>
    </xdr:from>
    <xdr:to>
      <xdr:col>13</xdr:col>
      <xdr:colOff>85725</xdr:colOff>
      <xdr:row>31</xdr:row>
      <xdr:rowOff>85725</xdr:rowOff>
    </xdr:to>
    <xdr:sp macro="" textlink="">
      <xdr:nvSpPr>
        <xdr:cNvPr id="10509" name="Text Box 6"/>
        <xdr:cNvSpPr txBox="1">
          <a:spLocks noChangeArrowheads="1"/>
        </xdr:cNvSpPr>
      </xdr:nvSpPr>
      <xdr:spPr bwMode="auto">
        <a:xfrm>
          <a:off x="2124075" y="5915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10</xdr:row>
      <xdr:rowOff>66675</xdr:rowOff>
    </xdr:from>
    <xdr:to>
      <xdr:col>23</xdr:col>
      <xdr:colOff>85725</xdr:colOff>
      <xdr:row>11</xdr:row>
      <xdr:rowOff>85725</xdr:rowOff>
    </xdr:to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3495675" y="19907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U284"/>
  <sheetViews>
    <sheetView workbookViewId="0">
      <selection activeCell="D13" sqref="D13:E13"/>
    </sheetView>
  </sheetViews>
  <sheetFormatPr defaultColWidth="9" defaultRowHeight="16.2"/>
  <cols>
    <col min="1" max="5" width="4.6640625" style="1" customWidth="1"/>
    <col min="6" max="6" width="5.6640625" style="1" customWidth="1"/>
    <col min="7" max="8" width="4.6640625" style="1" customWidth="1"/>
    <col min="9" max="9" width="5.6640625" style="1" customWidth="1"/>
    <col min="10" max="11" width="4.6640625" style="1" customWidth="1"/>
    <col min="12" max="12" width="5.6640625" style="1" customWidth="1"/>
    <col min="13" max="14" width="4.6640625" style="1" customWidth="1"/>
    <col min="15" max="15" width="5.6640625" style="1" customWidth="1"/>
    <col min="16" max="17" width="4.6640625" style="1" customWidth="1"/>
    <col min="18" max="18" width="5.6640625" style="1" customWidth="1"/>
    <col min="19" max="20" width="4.6640625" style="1" customWidth="1"/>
    <col min="21" max="21" width="5.6640625" style="1" customWidth="1"/>
    <col min="22" max="23" width="4.6640625" style="1" customWidth="1"/>
    <col min="24" max="24" width="5.6640625" style="1" customWidth="1"/>
    <col min="25" max="26" width="4.6640625" style="1" customWidth="1"/>
    <col min="27" max="27" width="5.6640625" style="1" customWidth="1"/>
    <col min="28" max="31" width="4.6640625" style="1" customWidth="1"/>
    <col min="32" max="32" width="7.33203125" style="1" bestFit="1" customWidth="1"/>
    <col min="33" max="33" width="7.21875" style="1" bestFit="1" customWidth="1"/>
    <col min="34" max="34" width="9.6640625" style="1" bestFit="1" customWidth="1"/>
    <col min="35" max="35" width="9.88671875" style="1" bestFit="1" customWidth="1"/>
    <col min="36" max="36" width="8.33203125" style="1" bestFit="1" customWidth="1"/>
    <col min="37" max="37" width="14" style="1" bestFit="1" customWidth="1"/>
    <col min="38" max="38" width="12.109375" style="1" bestFit="1" customWidth="1"/>
    <col min="39" max="42" width="7.21875" style="1" bestFit="1" customWidth="1"/>
    <col min="43" max="16384" width="9" style="1"/>
  </cols>
  <sheetData>
    <row r="2" spans="1:38">
      <c r="A2" s="1" t="s">
        <v>0</v>
      </c>
      <c r="D2" s="2" t="s">
        <v>1</v>
      </c>
      <c r="E2" s="316">
        <v>8</v>
      </c>
      <c r="F2" s="1" t="s">
        <v>2</v>
      </c>
      <c r="G2" s="335" t="s">
        <v>346</v>
      </c>
      <c r="H2" s="335"/>
      <c r="I2" s="5" t="s">
        <v>3</v>
      </c>
    </row>
    <row r="4" spans="1:38">
      <c r="A4" s="1" t="s">
        <v>4</v>
      </c>
      <c r="D4" s="334">
        <v>44493</v>
      </c>
      <c r="E4" s="335"/>
      <c r="F4" s="335"/>
      <c r="G4" s="335"/>
      <c r="I4" s="145"/>
      <c r="AI4" s="301" t="s">
        <v>329</v>
      </c>
      <c r="AJ4" s="301" t="s">
        <v>330</v>
      </c>
      <c r="AK4" s="301" t="s">
        <v>331</v>
      </c>
      <c r="AL4" s="302" t="s">
        <v>332</v>
      </c>
    </row>
    <row r="5" spans="1:38">
      <c r="AI5" s="301">
        <v>11</v>
      </c>
      <c r="AJ5" s="301" t="str">
        <f>$B$13</f>
        <v>NRC</v>
      </c>
      <c r="AK5" s="301" t="str">
        <f>D13</f>
        <v>吉向翔平</v>
      </c>
      <c r="AL5" s="301">
        <f>F13</f>
        <v>180</v>
      </c>
    </row>
    <row r="6" spans="1:38">
      <c r="A6" s="1" t="s">
        <v>5</v>
      </c>
      <c r="D6" s="335" t="s">
        <v>347</v>
      </c>
      <c r="E6" s="335"/>
      <c r="F6" s="335"/>
      <c r="G6" s="335"/>
      <c r="H6" s="335"/>
      <c r="I6" s="335"/>
      <c r="J6" s="2" t="s">
        <v>6</v>
      </c>
      <c r="K6" s="340" t="s">
        <v>348</v>
      </c>
      <c r="L6" s="340"/>
      <c r="M6" s="1" t="s">
        <v>7</v>
      </c>
      <c r="R6" s="298">
        <v>3</v>
      </c>
      <c r="S6" s="298" t="s">
        <v>82</v>
      </c>
      <c r="T6" s="298"/>
      <c r="U6" s="298">
        <v>6</v>
      </c>
      <c r="V6" s="298" t="s">
        <v>83</v>
      </c>
      <c r="AI6" s="301">
        <v>12</v>
      </c>
      <c r="AJ6" s="301" t="str">
        <f t="shared" ref="AJ6:AJ12" si="0">$B$13</f>
        <v>NRC</v>
      </c>
      <c r="AK6" s="301" t="str">
        <f>G13</f>
        <v>岩本剛</v>
      </c>
      <c r="AL6" s="301">
        <f>I13</f>
        <v>180</v>
      </c>
    </row>
    <row r="7" spans="1:38">
      <c r="AI7" s="301">
        <v>13</v>
      </c>
      <c r="AJ7" s="301" t="str">
        <f t="shared" si="0"/>
        <v>NRC</v>
      </c>
      <c r="AK7" s="301" t="str">
        <f>J13</f>
        <v>長谷川進</v>
      </c>
      <c r="AL7" s="301">
        <f>L13</f>
        <v>180</v>
      </c>
    </row>
    <row r="8" spans="1:38">
      <c r="A8" s="1" t="s">
        <v>8</v>
      </c>
      <c r="AE8" s="4"/>
      <c r="AI8" s="301">
        <v>14</v>
      </c>
      <c r="AJ8" s="301" t="str">
        <f t="shared" si="0"/>
        <v>NRC</v>
      </c>
      <c r="AK8" s="301" t="str">
        <f>M13</f>
        <v>井本高史</v>
      </c>
      <c r="AL8" s="301">
        <f>O13</f>
        <v>180</v>
      </c>
    </row>
    <row r="9" spans="1:38">
      <c r="A9" s="226" t="s">
        <v>9</v>
      </c>
      <c r="B9" s="336" t="s">
        <v>10</v>
      </c>
      <c r="C9" s="337"/>
      <c r="D9" s="324">
        <v>1</v>
      </c>
      <c r="E9" s="325"/>
      <c r="F9" s="326"/>
      <c r="G9" s="324">
        <v>2</v>
      </c>
      <c r="H9" s="325"/>
      <c r="I9" s="326"/>
      <c r="J9" s="324">
        <v>3</v>
      </c>
      <c r="K9" s="325"/>
      <c r="L9" s="326"/>
      <c r="M9" s="324">
        <v>4</v>
      </c>
      <c r="N9" s="325"/>
      <c r="O9" s="326"/>
      <c r="P9" s="324">
        <v>5</v>
      </c>
      <c r="Q9" s="325"/>
      <c r="R9" s="326"/>
      <c r="S9" s="324">
        <v>6</v>
      </c>
      <c r="T9" s="325"/>
      <c r="U9" s="326"/>
      <c r="V9" s="324">
        <v>7</v>
      </c>
      <c r="W9" s="325"/>
      <c r="X9" s="326"/>
      <c r="Y9" s="324">
        <v>8</v>
      </c>
      <c r="Z9" s="325"/>
      <c r="AA9" s="326"/>
      <c r="AE9" s="4"/>
      <c r="AI9" s="301">
        <v>15</v>
      </c>
      <c r="AJ9" s="301" t="str">
        <f t="shared" si="0"/>
        <v>NRC</v>
      </c>
      <c r="AK9" s="301" t="str">
        <f>P13</f>
        <v>金澤茂昌</v>
      </c>
      <c r="AL9" s="301">
        <f>R13</f>
        <v>180</v>
      </c>
    </row>
    <row r="10" spans="1:38">
      <c r="A10" s="226" t="s">
        <v>11</v>
      </c>
      <c r="B10" s="338"/>
      <c r="C10" s="339"/>
      <c r="D10" s="330" t="s">
        <v>12</v>
      </c>
      <c r="E10" s="331"/>
      <c r="F10" s="6" t="s">
        <v>13</v>
      </c>
      <c r="G10" s="330" t="s">
        <v>12</v>
      </c>
      <c r="H10" s="331"/>
      <c r="I10" s="6" t="s">
        <v>13</v>
      </c>
      <c r="J10" s="330" t="s">
        <v>12</v>
      </c>
      <c r="K10" s="331"/>
      <c r="L10" s="6" t="s">
        <v>13</v>
      </c>
      <c r="M10" s="330" t="s">
        <v>12</v>
      </c>
      <c r="N10" s="331"/>
      <c r="O10" s="6" t="s">
        <v>13</v>
      </c>
      <c r="P10" s="330" t="s">
        <v>12</v>
      </c>
      <c r="Q10" s="331"/>
      <c r="R10" s="6" t="s">
        <v>13</v>
      </c>
      <c r="S10" s="330" t="s">
        <v>12</v>
      </c>
      <c r="T10" s="331"/>
      <c r="U10" s="6" t="s">
        <v>13</v>
      </c>
      <c r="V10" s="330" t="s">
        <v>12</v>
      </c>
      <c r="W10" s="331"/>
      <c r="X10" s="6" t="s">
        <v>13</v>
      </c>
      <c r="Y10" s="330" t="s">
        <v>12</v>
      </c>
      <c r="Z10" s="331"/>
      <c r="AA10" s="6" t="s">
        <v>13</v>
      </c>
      <c r="AE10" s="4"/>
      <c r="AI10" s="301">
        <v>16</v>
      </c>
      <c r="AJ10" s="301" t="str">
        <f t="shared" si="0"/>
        <v>NRC</v>
      </c>
      <c r="AK10" s="301" t="str">
        <f>S13</f>
        <v>宮野早織</v>
      </c>
      <c r="AL10" s="301">
        <f>U13</f>
        <v>140</v>
      </c>
    </row>
    <row r="11" spans="1:38">
      <c r="A11" s="226">
        <v>3</v>
      </c>
      <c r="B11" s="323" t="s">
        <v>360</v>
      </c>
      <c r="C11" s="323"/>
      <c r="D11" s="327" t="s">
        <v>361</v>
      </c>
      <c r="E11" s="328"/>
      <c r="F11" s="314">
        <v>180</v>
      </c>
      <c r="G11" s="327" t="s">
        <v>362</v>
      </c>
      <c r="H11" s="328"/>
      <c r="I11" s="314">
        <v>180</v>
      </c>
      <c r="J11" s="327" t="s">
        <v>363</v>
      </c>
      <c r="K11" s="328"/>
      <c r="L11" s="314">
        <v>180</v>
      </c>
      <c r="M11" s="327" t="s">
        <v>364</v>
      </c>
      <c r="N11" s="328"/>
      <c r="O11" s="314">
        <v>180</v>
      </c>
      <c r="P11" s="327" t="s">
        <v>365</v>
      </c>
      <c r="Q11" s="328"/>
      <c r="R11" s="314">
        <v>180</v>
      </c>
      <c r="S11" s="327" t="s">
        <v>366</v>
      </c>
      <c r="T11" s="328"/>
      <c r="U11" s="314">
        <v>140</v>
      </c>
      <c r="V11" s="327"/>
      <c r="W11" s="328"/>
      <c r="X11" s="314"/>
      <c r="Y11" s="332"/>
      <c r="Z11" s="333"/>
      <c r="AA11" s="315"/>
      <c r="AE11" s="4"/>
      <c r="AI11" s="301">
        <v>17</v>
      </c>
      <c r="AJ11" s="301" t="str">
        <f t="shared" si="0"/>
        <v>NRC</v>
      </c>
      <c r="AK11" s="301">
        <f>V13</f>
        <v>0</v>
      </c>
      <c r="AL11" s="301">
        <f>X13</f>
        <v>0</v>
      </c>
    </row>
    <row r="12" spans="1:38">
      <c r="A12" s="226">
        <v>2</v>
      </c>
      <c r="B12" s="323" t="s">
        <v>75</v>
      </c>
      <c r="C12" s="323"/>
      <c r="D12" s="327" t="s">
        <v>354</v>
      </c>
      <c r="E12" s="328"/>
      <c r="F12" s="314">
        <v>180</v>
      </c>
      <c r="G12" s="327" t="s">
        <v>355</v>
      </c>
      <c r="H12" s="328"/>
      <c r="I12" s="314">
        <v>180</v>
      </c>
      <c r="J12" s="327" t="s">
        <v>356</v>
      </c>
      <c r="K12" s="328"/>
      <c r="L12" s="314">
        <v>180</v>
      </c>
      <c r="M12" s="327" t="s">
        <v>357</v>
      </c>
      <c r="N12" s="328"/>
      <c r="O12" s="314">
        <v>180</v>
      </c>
      <c r="P12" s="327" t="s">
        <v>358</v>
      </c>
      <c r="Q12" s="328"/>
      <c r="R12" s="314">
        <v>180</v>
      </c>
      <c r="S12" s="327" t="s">
        <v>359</v>
      </c>
      <c r="T12" s="328"/>
      <c r="U12" s="314">
        <v>140</v>
      </c>
      <c r="V12" s="327"/>
      <c r="W12" s="328"/>
      <c r="X12" s="314"/>
      <c r="Y12" s="332"/>
      <c r="Z12" s="333"/>
      <c r="AA12" s="315"/>
      <c r="AE12" s="4"/>
      <c r="AI12" s="301">
        <v>18</v>
      </c>
      <c r="AJ12" s="301" t="str">
        <f t="shared" si="0"/>
        <v>NRC</v>
      </c>
      <c r="AK12" s="301">
        <f>Y13</f>
        <v>0</v>
      </c>
      <c r="AL12" s="301">
        <f>AA13</f>
        <v>0</v>
      </c>
    </row>
    <row r="13" spans="1:38">
      <c r="A13" s="226">
        <v>1</v>
      </c>
      <c r="B13" s="323" t="s">
        <v>353</v>
      </c>
      <c r="C13" s="323"/>
      <c r="D13" s="327" t="s">
        <v>349</v>
      </c>
      <c r="E13" s="328"/>
      <c r="F13" s="314">
        <v>180</v>
      </c>
      <c r="G13" s="327" t="s">
        <v>350</v>
      </c>
      <c r="H13" s="328"/>
      <c r="I13" s="314">
        <v>180</v>
      </c>
      <c r="J13" s="327" t="s">
        <v>351</v>
      </c>
      <c r="K13" s="328"/>
      <c r="L13" s="314">
        <v>180</v>
      </c>
      <c r="M13" s="327" t="s">
        <v>368</v>
      </c>
      <c r="N13" s="328"/>
      <c r="O13" s="314">
        <v>180</v>
      </c>
      <c r="P13" s="327" t="s">
        <v>367</v>
      </c>
      <c r="Q13" s="328"/>
      <c r="R13" s="314">
        <v>180</v>
      </c>
      <c r="S13" s="327" t="s">
        <v>352</v>
      </c>
      <c r="T13" s="328"/>
      <c r="U13" s="314">
        <v>140</v>
      </c>
      <c r="V13" s="327"/>
      <c r="W13" s="328"/>
      <c r="X13" s="314"/>
      <c r="Y13" s="332"/>
      <c r="Z13" s="333"/>
      <c r="AA13" s="315"/>
      <c r="AI13" s="301">
        <v>21</v>
      </c>
      <c r="AJ13" s="301" t="str">
        <f>$B$12</f>
        <v>SBC</v>
      </c>
      <c r="AK13" s="301" t="str">
        <f>D12</f>
        <v>大橋正寛</v>
      </c>
      <c r="AL13" s="301">
        <f>F12</f>
        <v>180</v>
      </c>
    </row>
    <row r="14" spans="1:38">
      <c r="AA14" s="104"/>
      <c r="AI14" s="301">
        <v>22</v>
      </c>
      <c r="AJ14" s="301" t="str">
        <f t="shared" ref="AJ14:AJ20" si="1">$B$12</f>
        <v>SBC</v>
      </c>
      <c r="AK14" s="301" t="str">
        <f>G12</f>
        <v>長田智紀</v>
      </c>
      <c r="AL14" s="301">
        <f>I12</f>
        <v>180</v>
      </c>
    </row>
    <row r="15" spans="1:38">
      <c r="A15" s="1" t="s">
        <v>13</v>
      </c>
      <c r="D15" s="329" t="s">
        <v>16</v>
      </c>
      <c r="E15" s="329"/>
      <c r="F15" s="3" t="s">
        <v>17</v>
      </c>
      <c r="G15" s="3" t="s">
        <v>18</v>
      </c>
      <c r="H15" s="3"/>
      <c r="I15" s="162">
        <v>180</v>
      </c>
      <c r="J15" s="1" t="s">
        <v>19</v>
      </c>
      <c r="K15" s="3"/>
      <c r="AI15" s="301">
        <v>23</v>
      </c>
      <c r="AJ15" s="301" t="str">
        <f t="shared" si="1"/>
        <v>SBC</v>
      </c>
      <c r="AK15" s="301" t="str">
        <f>J12</f>
        <v>西峰久祐</v>
      </c>
      <c r="AL15" s="301">
        <f>L12</f>
        <v>180</v>
      </c>
    </row>
    <row r="16" spans="1:38">
      <c r="D16" s="329" t="s">
        <v>20</v>
      </c>
      <c r="E16" s="329"/>
      <c r="F16" s="3" t="s">
        <v>17</v>
      </c>
      <c r="G16" s="3" t="s">
        <v>21</v>
      </c>
      <c r="H16" s="3"/>
      <c r="I16" s="163">
        <v>140</v>
      </c>
      <c r="J16" s="1" t="s">
        <v>19</v>
      </c>
      <c r="K16" s="3"/>
      <c r="L16" s="85"/>
      <c r="M16" s="51"/>
      <c r="N16" s="51"/>
      <c r="O16" s="51"/>
      <c r="P16" s="51"/>
      <c r="Q16" s="52"/>
      <c r="R16" s="86"/>
      <c r="AI16" s="301">
        <v>24</v>
      </c>
      <c r="AJ16" s="301" t="str">
        <f t="shared" si="1"/>
        <v>SBC</v>
      </c>
      <c r="AK16" s="301" t="str">
        <f>M12</f>
        <v>大橋義治</v>
      </c>
      <c r="AL16" s="301">
        <f>O12</f>
        <v>180</v>
      </c>
    </row>
    <row r="17" spans="3:38">
      <c r="D17" s="3"/>
      <c r="E17" s="3"/>
      <c r="F17" s="3"/>
      <c r="G17" s="3"/>
      <c r="H17" s="3"/>
      <c r="I17" s="300"/>
      <c r="K17" s="3"/>
      <c r="L17" s="85"/>
      <c r="M17" s="51"/>
      <c r="N17" s="51"/>
      <c r="O17" s="51"/>
      <c r="P17" s="51"/>
      <c r="Q17" s="52"/>
      <c r="R17" s="86"/>
      <c r="AI17" s="301">
        <v>25</v>
      </c>
      <c r="AJ17" s="301" t="str">
        <f t="shared" si="1"/>
        <v>SBC</v>
      </c>
      <c r="AK17" s="301" t="str">
        <f>P12</f>
        <v>山中康寛</v>
      </c>
      <c r="AL17" s="301">
        <f>R12</f>
        <v>180</v>
      </c>
    </row>
    <row r="18" spans="3:38">
      <c r="D18" s="3"/>
      <c r="E18" s="3"/>
      <c r="F18" s="3"/>
      <c r="G18" s="3"/>
      <c r="H18" s="3"/>
      <c r="I18" s="300"/>
      <c r="K18" s="3"/>
      <c r="L18" s="85"/>
      <c r="M18" s="51"/>
      <c r="N18" s="51"/>
      <c r="O18" s="51"/>
      <c r="P18" s="51"/>
      <c r="Q18" s="52"/>
      <c r="R18" s="86"/>
      <c r="AI18" s="301">
        <v>26</v>
      </c>
      <c r="AJ18" s="301" t="str">
        <f t="shared" si="1"/>
        <v>SBC</v>
      </c>
      <c r="AK18" s="301" t="str">
        <f>S12</f>
        <v>大橋洋子</v>
      </c>
      <c r="AL18" s="301">
        <f>U12</f>
        <v>140</v>
      </c>
    </row>
    <row r="19" spans="3:38">
      <c r="D19" s="3"/>
      <c r="E19" s="3"/>
      <c r="F19" s="3"/>
      <c r="G19" s="3"/>
      <c r="H19" s="3"/>
      <c r="I19" s="300"/>
      <c r="K19" s="3"/>
      <c r="L19" s="85"/>
      <c r="M19" s="51"/>
      <c r="N19" s="51"/>
      <c r="O19" s="51"/>
      <c r="P19" s="51"/>
      <c r="Q19" s="52"/>
      <c r="R19" s="86"/>
      <c r="AI19" s="301">
        <v>27</v>
      </c>
      <c r="AJ19" s="301" t="str">
        <f t="shared" si="1"/>
        <v>SBC</v>
      </c>
      <c r="AK19" s="301">
        <f>V12</f>
        <v>0</v>
      </c>
      <c r="AL19" s="301">
        <f>X12</f>
        <v>0</v>
      </c>
    </row>
    <row r="20" spans="3:38">
      <c r="L20" s="85"/>
      <c r="M20" s="51"/>
      <c r="N20" s="51"/>
      <c r="O20" s="51"/>
      <c r="P20" s="51"/>
      <c r="Q20" s="52"/>
      <c r="R20" s="86"/>
      <c r="AI20" s="301">
        <v>28</v>
      </c>
      <c r="AJ20" s="301" t="str">
        <f t="shared" si="1"/>
        <v>SBC</v>
      </c>
      <c r="AK20" s="301">
        <f>Y12</f>
        <v>0</v>
      </c>
      <c r="AL20" s="301">
        <f>AA12</f>
        <v>0</v>
      </c>
    </row>
    <row r="21" spans="3:38">
      <c r="C21" s="257"/>
      <c r="D21" s="323" t="s">
        <v>22</v>
      </c>
      <c r="E21" s="323"/>
      <c r="F21" s="323"/>
      <c r="G21" s="323"/>
      <c r="H21" s="323"/>
      <c r="I21" s="323"/>
      <c r="J21" s="323"/>
      <c r="K21" s="323" t="s">
        <v>15</v>
      </c>
      <c r="L21" s="323"/>
      <c r="M21" s="323"/>
      <c r="N21" s="323"/>
      <c r="O21" s="323"/>
      <c r="P21" s="323"/>
      <c r="Q21" s="323"/>
      <c r="R21" s="323" t="s">
        <v>14</v>
      </c>
      <c r="S21" s="323"/>
      <c r="T21" s="323"/>
      <c r="U21" s="323"/>
      <c r="V21" s="323"/>
      <c r="W21" s="323"/>
      <c r="X21" s="323"/>
      <c r="AI21" s="301">
        <v>31</v>
      </c>
      <c r="AJ21" s="301" t="str">
        <f>$B$11</f>
        <v>HRC</v>
      </c>
      <c r="AK21" s="301" t="str">
        <f>D11</f>
        <v>宮本一</v>
      </c>
      <c r="AL21" s="301">
        <f>F11</f>
        <v>180</v>
      </c>
    </row>
    <row r="22" spans="3:38">
      <c r="C22" s="257">
        <v>1</v>
      </c>
      <c r="D22" s="322"/>
      <c r="E22" s="319"/>
      <c r="F22" s="320"/>
      <c r="G22" s="322"/>
      <c r="H22" s="319"/>
      <c r="I22" s="319"/>
      <c r="J22" s="320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AI22" s="301">
        <v>32</v>
      </c>
      <c r="AJ22" s="301" t="str">
        <f t="shared" ref="AJ22:AJ28" si="2">$B$11</f>
        <v>HRC</v>
      </c>
      <c r="AK22" s="301" t="str">
        <f>G11</f>
        <v>堂園雅也</v>
      </c>
      <c r="AL22" s="301">
        <f>I11</f>
        <v>180</v>
      </c>
    </row>
    <row r="23" spans="3:38">
      <c r="C23" s="257">
        <v>2</v>
      </c>
      <c r="D23" s="322"/>
      <c r="E23" s="319"/>
      <c r="F23" s="320"/>
      <c r="G23" s="322"/>
      <c r="H23" s="319"/>
      <c r="I23" s="319"/>
      <c r="J23" s="320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AI23" s="301">
        <v>33</v>
      </c>
      <c r="AJ23" s="301" t="str">
        <f t="shared" si="2"/>
        <v>HRC</v>
      </c>
      <c r="AK23" s="301" t="str">
        <f>J11</f>
        <v>平井洸志</v>
      </c>
      <c r="AL23" s="301">
        <f>L11</f>
        <v>180</v>
      </c>
    </row>
    <row r="24" spans="3:38">
      <c r="C24" s="257">
        <v>3</v>
      </c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AI24" s="301">
        <v>34</v>
      </c>
      <c r="AJ24" s="301" t="str">
        <f t="shared" si="2"/>
        <v>HRC</v>
      </c>
      <c r="AK24" s="301" t="str">
        <f>M11</f>
        <v>宮井健太郎</v>
      </c>
      <c r="AL24" s="301">
        <f>O11</f>
        <v>180</v>
      </c>
    </row>
    <row r="25" spans="3:38">
      <c r="C25" s="257">
        <v>4</v>
      </c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AI25" s="301">
        <v>35</v>
      </c>
      <c r="AJ25" s="301" t="str">
        <f t="shared" si="2"/>
        <v>HRC</v>
      </c>
      <c r="AK25" s="301" t="str">
        <f>P11</f>
        <v>金井健太郎</v>
      </c>
      <c r="AL25" s="301">
        <f>R11</f>
        <v>180</v>
      </c>
    </row>
    <row r="26" spans="3:38">
      <c r="C26" s="257">
        <v>5</v>
      </c>
      <c r="D26" s="321"/>
      <c r="E26" s="317"/>
      <c r="F26" s="317"/>
      <c r="G26" s="321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AI26" s="301">
        <v>36</v>
      </c>
      <c r="AJ26" s="301" t="str">
        <f t="shared" si="2"/>
        <v>HRC</v>
      </c>
      <c r="AK26" s="301" t="str">
        <f>S11</f>
        <v>河地恵里</v>
      </c>
      <c r="AL26" s="301">
        <f>U11</f>
        <v>140</v>
      </c>
    </row>
    <row r="27" spans="3:38">
      <c r="C27" s="257">
        <v>6</v>
      </c>
      <c r="D27" s="321"/>
      <c r="E27" s="317"/>
      <c r="F27" s="317"/>
      <c r="G27" s="321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AI27" s="301">
        <v>37</v>
      </c>
      <c r="AJ27" s="301" t="str">
        <f t="shared" si="2"/>
        <v>HRC</v>
      </c>
      <c r="AK27" s="301">
        <f>V11</f>
        <v>0</v>
      </c>
      <c r="AL27" s="301">
        <f>X11</f>
        <v>0</v>
      </c>
    </row>
    <row r="28" spans="3:38">
      <c r="C28" s="257">
        <v>7</v>
      </c>
      <c r="D28" s="318"/>
      <c r="E28" s="319"/>
      <c r="F28" s="320"/>
      <c r="G28" s="318"/>
      <c r="H28" s="319"/>
      <c r="I28" s="319"/>
      <c r="J28" s="320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AI28" s="301">
        <v>38</v>
      </c>
      <c r="AJ28" s="301" t="str">
        <f t="shared" si="2"/>
        <v>HRC</v>
      </c>
      <c r="AK28" s="301">
        <f>Y11</f>
        <v>0</v>
      </c>
      <c r="AL28" s="301">
        <f>AA11</f>
        <v>0</v>
      </c>
    </row>
    <row r="29" spans="3:38">
      <c r="C29" s="257">
        <v>8</v>
      </c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AH29" s="299"/>
    </row>
    <row r="30" spans="3:38">
      <c r="AH30" s="299"/>
    </row>
    <row r="31" spans="3:38">
      <c r="C31" s="257" t="s">
        <v>71</v>
      </c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</row>
    <row r="32" spans="3:38">
      <c r="C32" s="257" t="s">
        <v>72</v>
      </c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</row>
    <row r="33" spans="3:55">
      <c r="C33" s="257" t="s">
        <v>73</v>
      </c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</row>
    <row r="35" spans="3:55">
      <c r="C35" s="1" t="s">
        <v>76</v>
      </c>
    </row>
    <row r="43" spans="3:55">
      <c r="AH43" s="1" t="s">
        <v>327</v>
      </c>
      <c r="AI43" s="1" t="s">
        <v>328</v>
      </c>
    </row>
    <row r="44" spans="3:55">
      <c r="AH44" s="1">
        <v>1</v>
      </c>
      <c r="AI44" s="1" t="str">
        <f>B13</f>
        <v>NRC</v>
      </c>
    </row>
    <row r="45" spans="3:55">
      <c r="AH45" s="1">
        <v>2</v>
      </c>
      <c r="AI45" s="1" t="str">
        <f>B12</f>
        <v>SBC</v>
      </c>
      <c r="BA45" s="1">
        <v>2</v>
      </c>
      <c r="BC45" s="1">
        <v>3</v>
      </c>
    </row>
    <row r="46" spans="3:55">
      <c r="AH46" s="1">
        <v>3</v>
      </c>
      <c r="AI46" s="1" t="str">
        <f>B11</f>
        <v>HRC</v>
      </c>
      <c r="BA46" s="1">
        <v>1</v>
      </c>
      <c r="BC46" s="1">
        <v>3</v>
      </c>
    </row>
    <row r="47" spans="3:55">
      <c r="BA47" s="1">
        <v>1</v>
      </c>
      <c r="BC47" s="1">
        <v>2</v>
      </c>
    </row>
    <row r="49" spans="31:73">
      <c r="AG49" s="1">
        <f>U6</f>
        <v>6</v>
      </c>
      <c r="AH49" s="1" t="s">
        <v>78</v>
      </c>
      <c r="AI49" s="1" t="str">
        <f>AG49&amp;AH49</f>
        <v>6M</v>
      </c>
      <c r="AX49" s="1">
        <v>5</v>
      </c>
      <c r="AY49" s="1" t="s">
        <v>77</v>
      </c>
      <c r="BD49" s="1">
        <v>6</v>
      </c>
      <c r="BE49" s="1" t="s">
        <v>78</v>
      </c>
      <c r="BJ49" s="1">
        <v>7</v>
      </c>
      <c r="BK49" s="1" t="s">
        <v>79</v>
      </c>
      <c r="BP49" s="1">
        <v>8</v>
      </c>
      <c r="BQ49" s="1" t="s">
        <v>79</v>
      </c>
    </row>
    <row r="50" spans="31:73" ht="16.8" thickBot="1">
      <c r="AE50" s="1" t="s">
        <v>317</v>
      </c>
      <c r="AF50" s="1" t="s">
        <v>81</v>
      </c>
      <c r="AG50" s="1" t="s">
        <v>318</v>
      </c>
      <c r="AH50" s="1" t="s">
        <v>320</v>
      </c>
      <c r="AI50" s="1" t="s">
        <v>321</v>
      </c>
      <c r="AJ50" s="1" t="s">
        <v>322</v>
      </c>
      <c r="AK50" s="1" t="s">
        <v>323</v>
      </c>
      <c r="AL50" s="1" t="s">
        <v>319</v>
      </c>
      <c r="AM50" s="1" t="s">
        <v>324</v>
      </c>
      <c r="AN50" s="1" t="s">
        <v>321</v>
      </c>
      <c r="AO50" s="1" t="s">
        <v>325</v>
      </c>
      <c r="AP50" s="1" t="s">
        <v>326</v>
      </c>
      <c r="AW50" s="1" t="s">
        <v>317</v>
      </c>
    </row>
    <row r="51" spans="31:73">
      <c r="AE51" s="1">
        <f>VLOOKUP($AI$49&amp;AF51,$AR$51:$AW$1166,6,FALSE)</f>
        <v>1</v>
      </c>
      <c r="AF51" s="1">
        <v>1</v>
      </c>
      <c r="AG51" s="1">
        <f>VLOOKUP($AI$49&amp;AF51,$AR$51:$AW$1166,2,FALSE)</f>
        <v>2</v>
      </c>
      <c r="AH51" s="1">
        <f>VLOOKUP($AI$49&amp;AF51,$AR$51:$AW$1166,3,FALSE)</f>
        <v>1</v>
      </c>
      <c r="AI51" s="1" t="str">
        <f>VLOOKUP(AG51,$AH$44:$AI$46,2,FALSE)</f>
        <v>SBC</v>
      </c>
      <c r="AJ51" s="1">
        <f t="shared" ref="AJ51:AJ82" si="3">VLOOKUP(VALUE(AG51&amp;AH51),$AI$5:$AL$28,4,FALSE)</f>
        <v>180</v>
      </c>
      <c r="AK51" s="1" t="str">
        <f t="shared" ref="AK51:AK82" si="4">VLOOKUP(VALUE(AG51&amp;AH51),$AI$5:$AL$28,3,FALSE)</f>
        <v>大橋正寛</v>
      </c>
      <c r="AL51" s="1" t="str">
        <f t="shared" ref="AL51:AL82" si="5">VLOOKUP(VALUE(AO51&amp;AP51),$AI$5:$AL$28,3,FALSE)</f>
        <v>宮本一</v>
      </c>
      <c r="AM51" s="1">
        <f t="shared" ref="AM51:AM82" si="6">VLOOKUP(VALUE(AO51&amp;AP51),$AI$5:$AL$28,4,FALSE)</f>
        <v>180</v>
      </c>
      <c r="AN51" s="1" t="str">
        <f>VLOOKUP(AO51,$AH$44:$AI$46,2,FALSE)</f>
        <v>HRC</v>
      </c>
      <c r="AO51" s="1">
        <f>VLOOKUP($AI$49&amp;AF51,$AR$51:$AW$1166,4,FALSE)</f>
        <v>3</v>
      </c>
      <c r="AP51" s="1">
        <f>VLOOKUP($AI$49&amp;AF51,$AR$51:$AW$1166,5,FALSE)</f>
        <v>1</v>
      </c>
      <c r="AR51" s="278" t="s">
        <v>84</v>
      </c>
      <c r="AS51" s="279">
        <v>2</v>
      </c>
      <c r="AT51" s="279">
        <v>1</v>
      </c>
      <c r="AU51" s="279">
        <v>3</v>
      </c>
      <c r="AV51" s="280">
        <v>1</v>
      </c>
      <c r="AW51" s="1">
        <v>1</v>
      </c>
      <c r="AX51" s="278">
        <v>1</v>
      </c>
      <c r="AY51" s="279" t="str">
        <f>$AX$49&amp;$AY$49&amp;AX51</f>
        <v>5M1</v>
      </c>
      <c r="AZ51" s="279">
        <v>2</v>
      </c>
      <c r="BA51" s="279">
        <v>1</v>
      </c>
      <c r="BB51" s="279">
        <v>3</v>
      </c>
      <c r="BC51" s="290">
        <v>1</v>
      </c>
      <c r="BD51" s="278">
        <v>1</v>
      </c>
      <c r="BE51" s="279" t="str">
        <f>$BD$49&amp;$BE$49&amp;BD51</f>
        <v>6M1</v>
      </c>
      <c r="BF51" s="279">
        <v>2</v>
      </c>
      <c r="BG51" s="279">
        <v>1</v>
      </c>
      <c r="BH51" s="279">
        <v>3</v>
      </c>
      <c r="BI51" s="290">
        <v>1</v>
      </c>
      <c r="BJ51" s="278">
        <v>1</v>
      </c>
      <c r="BK51" s="279" t="str">
        <f>$BJ$49&amp;$BK$49&amp;BJ51</f>
        <v>7M1</v>
      </c>
      <c r="BL51" s="279">
        <v>2</v>
      </c>
      <c r="BM51" s="279">
        <v>1</v>
      </c>
      <c r="BN51" s="279">
        <v>3</v>
      </c>
      <c r="BO51" s="290">
        <v>1</v>
      </c>
      <c r="BP51" s="278">
        <v>1</v>
      </c>
      <c r="BQ51" s="279" t="str">
        <f>$BP$49&amp;$BQ$49&amp;BP51</f>
        <v>8M1</v>
      </c>
      <c r="BR51" s="279">
        <v>2</v>
      </c>
      <c r="BS51" s="279">
        <v>1</v>
      </c>
      <c r="BT51" s="279">
        <v>3</v>
      </c>
      <c r="BU51" s="280">
        <v>1</v>
      </c>
    </row>
    <row r="52" spans="31:73">
      <c r="AE52" s="1">
        <f t="shared" ref="AE52:AE115" si="7">VLOOKUP($AI$49&amp;AF52,$AR$51:$AW$1166,6,FALSE)</f>
        <v>1</v>
      </c>
      <c r="AF52" s="1">
        <v>2</v>
      </c>
      <c r="AG52" s="1">
        <f t="shared" ref="AG52:AG115" si="8">VLOOKUP($AI$49&amp;AF52,$AR$51:$AW$1166,2,FALSE)</f>
        <v>2</v>
      </c>
      <c r="AH52" s="1">
        <f t="shared" ref="AH52:AH69" si="9">VLOOKUP($AI$49&amp;AF52,$AR$51:$AW$1166,3,FALSE)</f>
        <v>2</v>
      </c>
      <c r="AI52" s="1" t="str">
        <f t="shared" ref="AI52:AI69" si="10">VLOOKUP(AG52,$AH$44:$AI$46,2,FALSE)</f>
        <v>SBC</v>
      </c>
      <c r="AJ52" s="1">
        <f t="shared" si="3"/>
        <v>180</v>
      </c>
      <c r="AK52" s="1" t="str">
        <f t="shared" si="4"/>
        <v>長田智紀</v>
      </c>
      <c r="AL52" s="1" t="str">
        <f t="shared" si="5"/>
        <v>堂園雅也</v>
      </c>
      <c r="AM52" s="1">
        <f t="shared" si="6"/>
        <v>180</v>
      </c>
      <c r="AN52" s="1" t="str">
        <f t="shared" ref="AN52:AN115" si="11">VLOOKUP(AO52,$AH$44:$AI$46,2,FALSE)</f>
        <v>HRC</v>
      </c>
      <c r="AO52" s="1">
        <f t="shared" ref="AO52:AO69" si="12">VLOOKUP($AI$49&amp;AF52,$AR$51:$AW$1166,4,FALSE)</f>
        <v>3</v>
      </c>
      <c r="AP52" s="1">
        <f t="shared" ref="AP52:AP69" si="13">VLOOKUP($AI$49&amp;AF52,$AR$51:$AW$1166,5,FALSE)</f>
        <v>2</v>
      </c>
      <c r="AR52" s="281" t="s">
        <v>85</v>
      </c>
      <c r="AS52" s="275">
        <v>2</v>
      </c>
      <c r="AT52" s="275">
        <v>2</v>
      </c>
      <c r="AU52" s="275">
        <v>3</v>
      </c>
      <c r="AV52" s="282">
        <v>2</v>
      </c>
      <c r="AW52" s="1">
        <v>1</v>
      </c>
      <c r="AX52" s="281">
        <v>2</v>
      </c>
      <c r="AY52" s="275" t="str">
        <f t="shared" ref="AY52:AY95" si="14">$AX$49&amp;$AY$49&amp;AX52</f>
        <v>5M2</v>
      </c>
      <c r="AZ52" s="275">
        <v>2</v>
      </c>
      <c r="BA52" s="275">
        <v>2</v>
      </c>
      <c r="BB52" s="275">
        <v>3</v>
      </c>
      <c r="BC52" s="291">
        <v>2</v>
      </c>
      <c r="BD52" s="281">
        <v>2</v>
      </c>
      <c r="BE52" s="275" t="str">
        <f t="shared" ref="BE52:BE104" si="15">$BD$49&amp;$BE$49&amp;BD52</f>
        <v>6M2</v>
      </c>
      <c r="BF52" s="275">
        <v>2</v>
      </c>
      <c r="BG52" s="275">
        <v>2</v>
      </c>
      <c r="BH52" s="275">
        <v>3</v>
      </c>
      <c r="BI52" s="291">
        <v>2</v>
      </c>
      <c r="BJ52" s="281">
        <v>2</v>
      </c>
      <c r="BK52" s="275" t="str">
        <f t="shared" ref="BK52:BK113" si="16">$BJ$49&amp;$BK$49&amp;BJ52</f>
        <v>7M2</v>
      </c>
      <c r="BL52" s="275">
        <v>2</v>
      </c>
      <c r="BM52" s="275">
        <v>2</v>
      </c>
      <c r="BN52" s="275">
        <v>3</v>
      </c>
      <c r="BO52" s="291">
        <v>2</v>
      </c>
      <c r="BP52" s="281">
        <v>2</v>
      </c>
      <c r="BQ52" s="275" t="str">
        <f t="shared" ref="BQ52:BQ115" si="17">$BP$49&amp;$BQ$49&amp;BP52</f>
        <v>8M2</v>
      </c>
      <c r="BR52" s="275">
        <v>2</v>
      </c>
      <c r="BS52" s="275">
        <v>2</v>
      </c>
      <c r="BT52" s="275">
        <v>3</v>
      </c>
      <c r="BU52" s="282">
        <v>2</v>
      </c>
    </row>
    <row r="53" spans="31:73">
      <c r="AE53" s="1">
        <f t="shared" si="7"/>
        <v>1</v>
      </c>
      <c r="AF53" s="1">
        <v>3</v>
      </c>
      <c r="AG53" s="1">
        <f t="shared" si="8"/>
        <v>2</v>
      </c>
      <c r="AH53" s="1">
        <f t="shared" si="9"/>
        <v>3</v>
      </c>
      <c r="AI53" s="1" t="str">
        <f t="shared" si="10"/>
        <v>SBC</v>
      </c>
      <c r="AJ53" s="1">
        <f t="shared" si="3"/>
        <v>180</v>
      </c>
      <c r="AK53" s="1" t="str">
        <f t="shared" si="4"/>
        <v>西峰久祐</v>
      </c>
      <c r="AL53" s="1" t="str">
        <f t="shared" si="5"/>
        <v>平井洸志</v>
      </c>
      <c r="AM53" s="1">
        <f t="shared" si="6"/>
        <v>180</v>
      </c>
      <c r="AN53" s="1" t="str">
        <f t="shared" si="11"/>
        <v>HRC</v>
      </c>
      <c r="AO53" s="1">
        <f t="shared" si="12"/>
        <v>3</v>
      </c>
      <c r="AP53" s="1">
        <f t="shared" si="13"/>
        <v>3</v>
      </c>
      <c r="AR53" s="281" t="s">
        <v>86</v>
      </c>
      <c r="AS53" s="275">
        <v>2</v>
      </c>
      <c r="AT53" s="275">
        <v>3</v>
      </c>
      <c r="AU53" s="275">
        <v>3</v>
      </c>
      <c r="AV53" s="282">
        <v>3</v>
      </c>
      <c r="AW53" s="1">
        <v>1</v>
      </c>
      <c r="AX53" s="281">
        <v>3</v>
      </c>
      <c r="AY53" s="275" t="str">
        <f t="shared" si="14"/>
        <v>5M3</v>
      </c>
      <c r="AZ53" s="275">
        <v>2</v>
      </c>
      <c r="BA53" s="275">
        <v>3</v>
      </c>
      <c r="BB53" s="275">
        <v>3</v>
      </c>
      <c r="BC53" s="291">
        <v>3</v>
      </c>
      <c r="BD53" s="281">
        <v>3</v>
      </c>
      <c r="BE53" s="275" t="str">
        <f t="shared" si="15"/>
        <v>6M3</v>
      </c>
      <c r="BF53" s="275">
        <v>2</v>
      </c>
      <c r="BG53" s="275">
        <v>3</v>
      </c>
      <c r="BH53" s="275">
        <v>3</v>
      </c>
      <c r="BI53" s="291">
        <v>3</v>
      </c>
      <c r="BJ53" s="281">
        <v>3</v>
      </c>
      <c r="BK53" s="275" t="str">
        <f t="shared" si="16"/>
        <v>7M3</v>
      </c>
      <c r="BL53" s="275">
        <v>2</v>
      </c>
      <c r="BM53" s="275">
        <v>3</v>
      </c>
      <c r="BN53" s="275">
        <v>3</v>
      </c>
      <c r="BO53" s="291">
        <v>3</v>
      </c>
      <c r="BP53" s="281">
        <v>3</v>
      </c>
      <c r="BQ53" s="275" t="str">
        <f t="shared" si="17"/>
        <v>8M3</v>
      </c>
      <c r="BR53" s="275">
        <v>2</v>
      </c>
      <c r="BS53" s="275">
        <v>3</v>
      </c>
      <c r="BT53" s="275">
        <v>3</v>
      </c>
      <c r="BU53" s="282">
        <v>3</v>
      </c>
    </row>
    <row r="54" spans="31:73">
      <c r="AE54" s="1">
        <f t="shared" si="7"/>
        <v>1</v>
      </c>
      <c r="AF54" s="1">
        <v>4</v>
      </c>
      <c r="AG54" s="1">
        <f t="shared" si="8"/>
        <v>2</v>
      </c>
      <c r="AH54" s="1">
        <f t="shared" si="9"/>
        <v>4</v>
      </c>
      <c r="AI54" s="1" t="str">
        <f t="shared" si="10"/>
        <v>SBC</v>
      </c>
      <c r="AJ54" s="1">
        <f t="shared" si="3"/>
        <v>180</v>
      </c>
      <c r="AK54" s="1" t="str">
        <f t="shared" si="4"/>
        <v>大橋義治</v>
      </c>
      <c r="AL54" s="1" t="str">
        <f t="shared" si="5"/>
        <v>宮井健太郎</v>
      </c>
      <c r="AM54" s="1">
        <f t="shared" si="6"/>
        <v>180</v>
      </c>
      <c r="AN54" s="1" t="str">
        <f t="shared" si="11"/>
        <v>HRC</v>
      </c>
      <c r="AO54" s="1">
        <f t="shared" si="12"/>
        <v>3</v>
      </c>
      <c r="AP54" s="1">
        <f t="shared" si="13"/>
        <v>4</v>
      </c>
      <c r="AR54" s="281" t="s">
        <v>87</v>
      </c>
      <c r="AS54" s="275">
        <v>2</v>
      </c>
      <c r="AT54" s="275">
        <v>4</v>
      </c>
      <c r="AU54" s="275">
        <v>3</v>
      </c>
      <c r="AV54" s="282">
        <v>4</v>
      </c>
      <c r="AW54" s="1">
        <v>1</v>
      </c>
      <c r="AX54" s="281">
        <v>4</v>
      </c>
      <c r="AY54" s="275" t="str">
        <f t="shared" si="14"/>
        <v>5M4</v>
      </c>
      <c r="AZ54" s="275">
        <v>2</v>
      </c>
      <c r="BA54" s="275">
        <v>4</v>
      </c>
      <c r="BB54" s="275">
        <v>3</v>
      </c>
      <c r="BC54" s="291">
        <v>4</v>
      </c>
      <c r="BD54" s="281">
        <v>4</v>
      </c>
      <c r="BE54" s="275" t="str">
        <f t="shared" si="15"/>
        <v>6M4</v>
      </c>
      <c r="BF54" s="275">
        <v>2</v>
      </c>
      <c r="BG54" s="275">
        <v>4</v>
      </c>
      <c r="BH54" s="275">
        <v>3</v>
      </c>
      <c r="BI54" s="291">
        <v>4</v>
      </c>
      <c r="BJ54" s="281">
        <v>4</v>
      </c>
      <c r="BK54" s="275" t="str">
        <f t="shared" si="16"/>
        <v>7M4</v>
      </c>
      <c r="BL54" s="275">
        <v>2</v>
      </c>
      <c r="BM54" s="275">
        <v>4</v>
      </c>
      <c r="BN54" s="275">
        <v>3</v>
      </c>
      <c r="BO54" s="291">
        <v>4</v>
      </c>
      <c r="BP54" s="281">
        <v>4</v>
      </c>
      <c r="BQ54" s="275" t="str">
        <f t="shared" si="17"/>
        <v>8M4</v>
      </c>
      <c r="BR54" s="275">
        <v>2</v>
      </c>
      <c r="BS54" s="275">
        <v>4</v>
      </c>
      <c r="BT54" s="275">
        <v>3</v>
      </c>
      <c r="BU54" s="282">
        <v>4</v>
      </c>
    </row>
    <row r="55" spans="31:73">
      <c r="AE55" s="1">
        <f t="shared" si="7"/>
        <v>1</v>
      </c>
      <c r="AF55" s="1">
        <v>5</v>
      </c>
      <c r="AG55" s="1">
        <f t="shared" si="8"/>
        <v>2</v>
      </c>
      <c r="AH55" s="1">
        <f t="shared" si="9"/>
        <v>5</v>
      </c>
      <c r="AI55" s="1" t="str">
        <f t="shared" si="10"/>
        <v>SBC</v>
      </c>
      <c r="AJ55" s="1">
        <f t="shared" si="3"/>
        <v>180</v>
      </c>
      <c r="AK55" s="1" t="str">
        <f t="shared" si="4"/>
        <v>山中康寛</v>
      </c>
      <c r="AL55" s="1" t="str">
        <f t="shared" si="5"/>
        <v>金井健太郎</v>
      </c>
      <c r="AM55" s="1">
        <f t="shared" si="6"/>
        <v>180</v>
      </c>
      <c r="AN55" s="1" t="str">
        <f t="shared" si="11"/>
        <v>HRC</v>
      </c>
      <c r="AO55" s="1">
        <f t="shared" si="12"/>
        <v>3</v>
      </c>
      <c r="AP55" s="1">
        <f t="shared" si="13"/>
        <v>5</v>
      </c>
      <c r="AR55" s="283" t="s">
        <v>88</v>
      </c>
      <c r="AS55" s="276">
        <v>2</v>
      </c>
      <c r="AT55" s="276">
        <v>5</v>
      </c>
      <c r="AU55" s="276">
        <v>3</v>
      </c>
      <c r="AV55" s="284">
        <v>5</v>
      </c>
      <c r="AW55" s="1">
        <v>1</v>
      </c>
      <c r="AX55" s="283">
        <v>5</v>
      </c>
      <c r="AY55" s="276" t="str">
        <f t="shared" si="14"/>
        <v>5M5</v>
      </c>
      <c r="AZ55" s="276">
        <v>2</v>
      </c>
      <c r="BA55" s="276">
        <v>5</v>
      </c>
      <c r="BB55" s="276">
        <v>3</v>
      </c>
      <c r="BC55" s="292">
        <v>5</v>
      </c>
      <c r="BD55" s="281">
        <v>5</v>
      </c>
      <c r="BE55" s="275" t="str">
        <f t="shared" si="15"/>
        <v>6M5</v>
      </c>
      <c r="BF55" s="275">
        <v>2</v>
      </c>
      <c r="BG55" s="275">
        <v>5</v>
      </c>
      <c r="BH55" s="275">
        <v>3</v>
      </c>
      <c r="BI55" s="291">
        <v>5</v>
      </c>
      <c r="BJ55" s="281">
        <v>5</v>
      </c>
      <c r="BK55" s="275" t="str">
        <f t="shared" si="16"/>
        <v>7M5</v>
      </c>
      <c r="BL55" s="275">
        <v>2</v>
      </c>
      <c r="BM55" s="275">
        <v>5</v>
      </c>
      <c r="BN55" s="275">
        <v>3</v>
      </c>
      <c r="BO55" s="291">
        <v>5</v>
      </c>
      <c r="BP55" s="281">
        <v>5</v>
      </c>
      <c r="BQ55" s="275" t="str">
        <f t="shared" si="17"/>
        <v>8M5</v>
      </c>
      <c r="BR55" s="275">
        <v>2</v>
      </c>
      <c r="BS55" s="275">
        <v>5</v>
      </c>
      <c r="BT55" s="275">
        <v>3</v>
      </c>
      <c r="BU55" s="282">
        <v>5</v>
      </c>
    </row>
    <row r="56" spans="31:73">
      <c r="AE56" s="1">
        <f t="shared" si="7"/>
        <v>1</v>
      </c>
      <c r="AF56" s="1">
        <v>6</v>
      </c>
      <c r="AG56" s="1">
        <f t="shared" si="8"/>
        <v>2</v>
      </c>
      <c r="AH56" s="1">
        <f t="shared" si="9"/>
        <v>6</v>
      </c>
      <c r="AI56" s="1" t="str">
        <f t="shared" si="10"/>
        <v>SBC</v>
      </c>
      <c r="AJ56" s="1">
        <f t="shared" si="3"/>
        <v>140</v>
      </c>
      <c r="AK56" s="1" t="str">
        <f t="shared" si="4"/>
        <v>大橋洋子</v>
      </c>
      <c r="AL56" s="1" t="str">
        <f t="shared" si="5"/>
        <v>河地恵里</v>
      </c>
      <c r="AM56" s="1">
        <f t="shared" si="6"/>
        <v>140</v>
      </c>
      <c r="AN56" s="1" t="str">
        <f t="shared" si="11"/>
        <v>HRC</v>
      </c>
      <c r="AO56" s="1">
        <f t="shared" si="12"/>
        <v>3</v>
      </c>
      <c r="AP56" s="1">
        <f t="shared" si="13"/>
        <v>6</v>
      </c>
      <c r="AR56" s="285" t="s">
        <v>89</v>
      </c>
      <c r="AS56" s="274">
        <v>1</v>
      </c>
      <c r="AT56" s="274">
        <v>1</v>
      </c>
      <c r="AU56" s="274">
        <v>3</v>
      </c>
      <c r="AV56" s="286">
        <v>1</v>
      </c>
      <c r="AW56" s="1">
        <v>1</v>
      </c>
      <c r="AX56" s="285">
        <v>6</v>
      </c>
      <c r="AY56" s="274" t="str">
        <f t="shared" si="14"/>
        <v>5M6</v>
      </c>
      <c r="AZ56" s="274">
        <v>1</v>
      </c>
      <c r="BA56" s="274">
        <v>1</v>
      </c>
      <c r="BB56" s="274">
        <v>3</v>
      </c>
      <c r="BC56" s="293">
        <v>1</v>
      </c>
      <c r="BD56" s="283">
        <v>6</v>
      </c>
      <c r="BE56" s="276" t="str">
        <f t="shared" si="15"/>
        <v>6M6</v>
      </c>
      <c r="BF56" s="276">
        <v>2</v>
      </c>
      <c r="BG56" s="276">
        <v>6</v>
      </c>
      <c r="BH56" s="276">
        <v>3</v>
      </c>
      <c r="BI56" s="292">
        <v>6</v>
      </c>
      <c r="BJ56" s="281">
        <v>6</v>
      </c>
      <c r="BK56" s="275" t="str">
        <f t="shared" si="16"/>
        <v>7M6</v>
      </c>
      <c r="BL56" s="275">
        <v>2</v>
      </c>
      <c r="BM56" s="275">
        <v>6</v>
      </c>
      <c r="BN56" s="275">
        <v>3</v>
      </c>
      <c r="BO56" s="291">
        <v>6</v>
      </c>
      <c r="BP56" s="281">
        <v>6</v>
      </c>
      <c r="BQ56" s="275" t="str">
        <f t="shared" si="17"/>
        <v>8M6</v>
      </c>
      <c r="BR56" s="275">
        <v>2</v>
      </c>
      <c r="BS56" s="275">
        <v>6</v>
      </c>
      <c r="BT56" s="275">
        <v>3</v>
      </c>
      <c r="BU56" s="282">
        <v>6</v>
      </c>
    </row>
    <row r="57" spans="31:73">
      <c r="AE57" s="1">
        <f t="shared" si="7"/>
        <v>1</v>
      </c>
      <c r="AF57" s="1">
        <v>7</v>
      </c>
      <c r="AG57" s="1">
        <f t="shared" si="8"/>
        <v>1</v>
      </c>
      <c r="AH57" s="1">
        <f t="shared" si="9"/>
        <v>1</v>
      </c>
      <c r="AI57" s="1" t="str">
        <f t="shared" si="10"/>
        <v>NRC</v>
      </c>
      <c r="AJ57" s="1">
        <f t="shared" si="3"/>
        <v>180</v>
      </c>
      <c r="AK57" s="1" t="str">
        <f t="shared" si="4"/>
        <v>吉向翔平</v>
      </c>
      <c r="AL57" s="1" t="str">
        <f t="shared" si="5"/>
        <v>宮本一</v>
      </c>
      <c r="AM57" s="1">
        <f t="shared" si="6"/>
        <v>180</v>
      </c>
      <c r="AN57" s="1" t="str">
        <f t="shared" si="11"/>
        <v>HRC</v>
      </c>
      <c r="AO57" s="1">
        <f t="shared" si="12"/>
        <v>3</v>
      </c>
      <c r="AP57" s="1">
        <f t="shared" si="13"/>
        <v>1</v>
      </c>
      <c r="AR57" s="281" t="s">
        <v>90</v>
      </c>
      <c r="AS57" s="275">
        <v>1</v>
      </c>
      <c r="AT57" s="275">
        <v>2</v>
      </c>
      <c r="AU57" s="275">
        <v>3</v>
      </c>
      <c r="AV57" s="282">
        <v>2</v>
      </c>
      <c r="AW57" s="1">
        <v>1</v>
      </c>
      <c r="AX57" s="281">
        <v>7</v>
      </c>
      <c r="AY57" s="275" t="str">
        <f t="shared" si="14"/>
        <v>5M7</v>
      </c>
      <c r="AZ57" s="275">
        <v>1</v>
      </c>
      <c r="BA57" s="275">
        <v>2</v>
      </c>
      <c r="BB57" s="275">
        <v>3</v>
      </c>
      <c r="BC57" s="291">
        <v>2</v>
      </c>
      <c r="BD57" s="285">
        <v>7</v>
      </c>
      <c r="BE57" s="274" t="str">
        <f t="shared" si="15"/>
        <v>6M7</v>
      </c>
      <c r="BF57" s="274">
        <v>1</v>
      </c>
      <c r="BG57" s="274">
        <v>1</v>
      </c>
      <c r="BH57" s="274">
        <v>3</v>
      </c>
      <c r="BI57" s="293">
        <v>1</v>
      </c>
      <c r="BJ57" s="295">
        <v>7</v>
      </c>
      <c r="BK57" s="277" t="str">
        <f t="shared" si="16"/>
        <v>7M7</v>
      </c>
      <c r="BL57" s="277">
        <v>2</v>
      </c>
      <c r="BM57" s="277">
        <v>7</v>
      </c>
      <c r="BN57" s="277">
        <v>3</v>
      </c>
      <c r="BO57" s="297">
        <v>7</v>
      </c>
      <c r="BP57" s="281">
        <v>7</v>
      </c>
      <c r="BQ57" s="275" t="str">
        <f t="shared" si="17"/>
        <v>8M7</v>
      </c>
      <c r="BR57" s="275">
        <v>2</v>
      </c>
      <c r="BS57" s="275">
        <v>7</v>
      </c>
      <c r="BT57" s="275">
        <v>3</v>
      </c>
      <c r="BU57" s="282">
        <v>7</v>
      </c>
    </row>
    <row r="58" spans="31:73">
      <c r="AE58" s="1">
        <f t="shared" si="7"/>
        <v>1</v>
      </c>
      <c r="AF58" s="1">
        <v>8</v>
      </c>
      <c r="AG58" s="1">
        <f t="shared" si="8"/>
        <v>1</v>
      </c>
      <c r="AH58" s="1">
        <f t="shared" si="9"/>
        <v>2</v>
      </c>
      <c r="AI58" s="1" t="str">
        <f t="shared" si="10"/>
        <v>NRC</v>
      </c>
      <c r="AJ58" s="1">
        <f t="shared" si="3"/>
        <v>180</v>
      </c>
      <c r="AK58" s="1" t="str">
        <f t="shared" si="4"/>
        <v>岩本剛</v>
      </c>
      <c r="AL58" s="1" t="str">
        <f t="shared" si="5"/>
        <v>堂園雅也</v>
      </c>
      <c r="AM58" s="1">
        <f t="shared" si="6"/>
        <v>180</v>
      </c>
      <c r="AN58" s="1" t="str">
        <f t="shared" si="11"/>
        <v>HRC</v>
      </c>
      <c r="AO58" s="1">
        <f t="shared" si="12"/>
        <v>3</v>
      </c>
      <c r="AP58" s="1">
        <f t="shared" si="13"/>
        <v>2</v>
      </c>
      <c r="AR58" s="281" t="s">
        <v>91</v>
      </c>
      <c r="AS58" s="275">
        <v>1</v>
      </c>
      <c r="AT58" s="275">
        <v>3</v>
      </c>
      <c r="AU58" s="275">
        <v>3</v>
      </c>
      <c r="AV58" s="282">
        <v>3</v>
      </c>
      <c r="AW58" s="1">
        <v>1</v>
      </c>
      <c r="AX58" s="281">
        <v>8</v>
      </c>
      <c r="AY58" s="275" t="str">
        <f t="shared" si="14"/>
        <v>5M8</v>
      </c>
      <c r="AZ58" s="275">
        <v>1</v>
      </c>
      <c r="BA58" s="275">
        <v>3</v>
      </c>
      <c r="BB58" s="275">
        <v>3</v>
      </c>
      <c r="BC58" s="291">
        <v>3</v>
      </c>
      <c r="BD58" s="281">
        <v>8</v>
      </c>
      <c r="BE58" s="275" t="str">
        <f t="shared" si="15"/>
        <v>6M8</v>
      </c>
      <c r="BF58" s="275">
        <v>1</v>
      </c>
      <c r="BG58" s="275">
        <v>2</v>
      </c>
      <c r="BH58" s="275">
        <v>3</v>
      </c>
      <c r="BI58" s="291">
        <v>2</v>
      </c>
      <c r="BJ58" s="285">
        <v>8</v>
      </c>
      <c r="BK58" s="274" t="str">
        <f t="shared" si="16"/>
        <v>7M8</v>
      </c>
      <c r="BL58" s="274">
        <v>1</v>
      </c>
      <c r="BM58" s="274">
        <v>1</v>
      </c>
      <c r="BN58" s="274">
        <v>3</v>
      </c>
      <c r="BO58" s="293">
        <v>1</v>
      </c>
      <c r="BP58" s="283">
        <v>8</v>
      </c>
      <c r="BQ58" s="276" t="str">
        <f t="shared" si="17"/>
        <v>8M8</v>
      </c>
      <c r="BR58" s="276">
        <v>2</v>
      </c>
      <c r="BS58" s="276">
        <v>8</v>
      </c>
      <c r="BT58" s="276">
        <v>3</v>
      </c>
      <c r="BU58" s="284">
        <v>8</v>
      </c>
    </row>
    <row r="59" spans="31:73">
      <c r="AE59" s="1">
        <f t="shared" si="7"/>
        <v>1</v>
      </c>
      <c r="AF59" s="1">
        <v>9</v>
      </c>
      <c r="AG59" s="1">
        <f t="shared" si="8"/>
        <v>1</v>
      </c>
      <c r="AH59" s="1">
        <f t="shared" si="9"/>
        <v>3</v>
      </c>
      <c r="AI59" s="1" t="str">
        <f t="shared" si="10"/>
        <v>NRC</v>
      </c>
      <c r="AJ59" s="1">
        <f t="shared" si="3"/>
        <v>180</v>
      </c>
      <c r="AK59" s="1" t="str">
        <f t="shared" si="4"/>
        <v>長谷川進</v>
      </c>
      <c r="AL59" s="1" t="str">
        <f t="shared" si="5"/>
        <v>平井洸志</v>
      </c>
      <c r="AM59" s="1">
        <f t="shared" si="6"/>
        <v>180</v>
      </c>
      <c r="AN59" s="1" t="str">
        <f t="shared" si="11"/>
        <v>HRC</v>
      </c>
      <c r="AO59" s="1">
        <f t="shared" si="12"/>
        <v>3</v>
      </c>
      <c r="AP59" s="1">
        <f t="shared" si="13"/>
        <v>3</v>
      </c>
      <c r="AR59" s="281" t="s">
        <v>92</v>
      </c>
      <c r="AS59" s="275">
        <v>1</v>
      </c>
      <c r="AT59" s="275">
        <v>4</v>
      </c>
      <c r="AU59" s="275">
        <v>3</v>
      </c>
      <c r="AV59" s="282">
        <v>4</v>
      </c>
      <c r="AW59" s="1">
        <v>1</v>
      </c>
      <c r="AX59" s="281">
        <v>9</v>
      </c>
      <c r="AY59" s="275" t="str">
        <f t="shared" si="14"/>
        <v>5M9</v>
      </c>
      <c r="AZ59" s="275">
        <v>1</v>
      </c>
      <c r="BA59" s="275">
        <v>4</v>
      </c>
      <c r="BB59" s="275">
        <v>3</v>
      </c>
      <c r="BC59" s="291">
        <v>4</v>
      </c>
      <c r="BD59" s="281">
        <v>9</v>
      </c>
      <c r="BE59" s="275" t="str">
        <f t="shared" si="15"/>
        <v>6M9</v>
      </c>
      <c r="BF59" s="275">
        <v>1</v>
      </c>
      <c r="BG59" s="275">
        <v>3</v>
      </c>
      <c r="BH59" s="275">
        <v>3</v>
      </c>
      <c r="BI59" s="291">
        <v>3</v>
      </c>
      <c r="BJ59" s="281">
        <v>9</v>
      </c>
      <c r="BK59" s="275" t="str">
        <f t="shared" si="16"/>
        <v>7M9</v>
      </c>
      <c r="BL59" s="275">
        <v>1</v>
      </c>
      <c r="BM59" s="275">
        <v>2</v>
      </c>
      <c r="BN59" s="275">
        <v>3</v>
      </c>
      <c r="BO59" s="291">
        <v>2</v>
      </c>
      <c r="BP59" s="285">
        <v>9</v>
      </c>
      <c r="BQ59" s="274" t="str">
        <f t="shared" si="17"/>
        <v>8M9</v>
      </c>
      <c r="BR59" s="274">
        <v>1</v>
      </c>
      <c r="BS59" s="274">
        <v>1</v>
      </c>
      <c r="BT59" s="274">
        <v>3</v>
      </c>
      <c r="BU59" s="286">
        <v>1</v>
      </c>
    </row>
    <row r="60" spans="31:73">
      <c r="AE60" s="1">
        <f t="shared" si="7"/>
        <v>1</v>
      </c>
      <c r="AF60" s="1">
        <v>10</v>
      </c>
      <c r="AG60" s="1">
        <f t="shared" si="8"/>
        <v>1</v>
      </c>
      <c r="AH60" s="1">
        <f t="shared" si="9"/>
        <v>4</v>
      </c>
      <c r="AI60" s="1" t="str">
        <f t="shared" si="10"/>
        <v>NRC</v>
      </c>
      <c r="AJ60" s="1">
        <f t="shared" si="3"/>
        <v>180</v>
      </c>
      <c r="AK60" s="1" t="str">
        <f t="shared" si="4"/>
        <v>井本高史</v>
      </c>
      <c r="AL60" s="1" t="str">
        <f t="shared" si="5"/>
        <v>宮井健太郎</v>
      </c>
      <c r="AM60" s="1">
        <f t="shared" si="6"/>
        <v>180</v>
      </c>
      <c r="AN60" s="1" t="str">
        <f t="shared" si="11"/>
        <v>HRC</v>
      </c>
      <c r="AO60" s="1">
        <f t="shared" si="12"/>
        <v>3</v>
      </c>
      <c r="AP60" s="1">
        <f t="shared" si="13"/>
        <v>4</v>
      </c>
      <c r="AR60" s="283" t="s">
        <v>93</v>
      </c>
      <c r="AS60" s="276">
        <v>1</v>
      </c>
      <c r="AT60" s="276">
        <v>5</v>
      </c>
      <c r="AU60" s="276">
        <v>3</v>
      </c>
      <c r="AV60" s="284">
        <v>5</v>
      </c>
      <c r="AW60" s="1">
        <v>1</v>
      </c>
      <c r="AX60" s="283">
        <v>10</v>
      </c>
      <c r="AY60" s="276" t="str">
        <f t="shared" si="14"/>
        <v>5M10</v>
      </c>
      <c r="AZ60" s="276">
        <v>1</v>
      </c>
      <c r="BA60" s="276">
        <v>5</v>
      </c>
      <c r="BB60" s="276">
        <v>3</v>
      </c>
      <c r="BC60" s="292">
        <v>5</v>
      </c>
      <c r="BD60" s="281">
        <v>10</v>
      </c>
      <c r="BE60" s="275" t="str">
        <f t="shared" si="15"/>
        <v>6M10</v>
      </c>
      <c r="BF60" s="275">
        <v>1</v>
      </c>
      <c r="BG60" s="275">
        <v>4</v>
      </c>
      <c r="BH60" s="275">
        <v>3</v>
      </c>
      <c r="BI60" s="291">
        <v>4</v>
      </c>
      <c r="BJ60" s="281">
        <v>10</v>
      </c>
      <c r="BK60" s="275" t="str">
        <f t="shared" si="16"/>
        <v>7M10</v>
      </c>
      <c r="BL60" s="275">
        <v>1</v>
      </c>
      <c r="BM60" s="275">
        <v>3</v>
      </c>
      <c r="BN60" s="275">
        <v>3</v>
      </c>
      <c r="BO60" s="291">
        <v>3</v>
      </c>
      <c r="BP60" s="281">
        <v>10</v>
      </c>
      <c r="BQ60" s="275" t="str">
        <f t="shared" si="17"/>
        <v>8M10</v>
      </c>
      <c r="BR60" s="275">
        <v>1</v>
      </c>
      <c r="BS60" s="275">
        <v>2</v>
      </c>
      <c r="BT60" s="275">
        <v>3</v>
      </c>
      <c r="BU60" s="282">
        <v>2</v>
      </c>
    </row>
    <row r="61" spans="31:73">
      <c r="AE61" s="1">
        <f t="shared" si="7"/>
        <v>1</v>
      </c>
      <c r="AF61" s="1">
        <v>11</v>
      </c>
      <c r="AG61" s="1">
        <f t="shared" si="8"/>
        <v>1</v>
      </c>
      <c r="AH61" s="1">
        <f t="shared" si="9"/>
        <v>5</v>
      </c>
      <c r="AI61" s="1" t="str">
        <f t="shared" si="10"/>
        <v>NRC</v>
      </c>
      <c r="AJ61" s="1">
        <f t="shared" si="3"/>
        <v>180</v>
      </c>
      <c r="AK61" s="1" t="str">
        <f t="shared" si="4"/>
        <v>金澤茂昌</v>
      </c>
      <c r="AL61" s="1" t="str">
        <f t="shared" si="5"/>
        <v>金井健太郎</v>
      </c>
      <c r="AM61" s="1">
        <f t="shared" si="6"/>
        <v>180</v>
      </c>
      <c r="AN61" s="1" t="str">
        <f t="shared" si="11"/>
        <v>HRC</v>
      </c>
      <c r="AO61" s="1">
        <f t="shared" si="12"/>
        <v>3</v>
      </c>
      <c r="AP61" s="1">
        <f t="shared" si="13"/>
        <v>5</v>
      </c>
      <c r="AR61" s="285" t="s">
        <v>94</v>
      </c>
      <c r="AS61" s="274">
        <v>1</v>
      </c>
      <c r="AT61" s="274">
        <v>1</v>
      </c>
      <c r="AU61" s="274">
        <v>2</v>
      </c>
      <c r="AV61" s="286">
        <v>1</v>
      </c>
      <c r="AW61" s="1">
        <v>1</v>
      </c>
      <c r="AX61" s="285">
        <v>11</v>
      </c>
      <c r="AY61" s="274" t="str">
        <f t="shared" si="14"/>
        <v>5M11</v>
      </c>
      <c r="AZ61" s="274">
        <v>1</v>
      </c>
      <c r="BA61" s="274">
        <v>1</v>
      </c>
      <c r="BB61" s="274">
        <v>2</v>
      </c>
      <c r="BC61" s="293">
        <v>1</v>
      </c>
      <c r="BD61" s="281">
        <v>11</v>
      </c>
      <c r="BE61" s="275" t="str">
        <f t="shared" si="15"/>
        <v>6M11</v>
      </c>
      <c r="BF61" s="275">
        <v>1</v>
      </c>
      <c r="BG61" s="275">
        <v>5</v>
      </c>
      <c r="BH61" s="275">
        <v>3</v>
      </c>
      <c r="BI61" s="291">
        <v>5</v>
      </c>
      <c r="BJ61" s="281">
        <v>11</v>
      </c>
      <c r="BK61" s="275" t="str">
        <f t="shared" si="16"/>
        <v>7M11</v>
      </c>
      <c r="BL61" s="275">
        <v>1</v>
      </c>
      <c r="BM61" s="275">
        <v>4</v>
      </c>
      <c r="BN61" s="275">
        <v>3</v>
      </c>
      <c r="BO61" s="291">
        <v>4</v>
      </c>
      <c r="BP61" s="281">
        <v>11</v>
      </c>
      <c r="BQ61" s="275" t="str">
        <f t="shared" si="17"/>
        <v>8M11</v>
      </c>
      <c r="BR61" s="275">
        <v>1</v>
      </c>
      <c r="BS61" s="275">
        <v>3</v>
      </c>
      <c r="BT61" s="275">
        <v>3</v>
      </c>
      <c r="BU61" s="282">
        <v>3</v>
      </c>
    </row>
    <row r="62" spans="31:73">
      <c r="AE62" s="1">
        <f t="shared" si="7"/>
        <v>1</v>
      </c>
      <c r="AF62" s="1">
        <v>12</v>
      </c>
      <c r="AG62" s="1">
        <f t="shared" si="8"/>
        <v>1</v>
      </c>
      <c r="AH62" s="1">
        <f t="shared" si="9"/>
        <v>6</v>
      </c>
      <c r="AI62" s="1" t="str">
        <f t="shared" si="10"/>
        <v>NRC</v>
      </c>
      <c r="AJ62" s="1">
        <f t="shared" si="3"/>
        <v>140</v>
      </c>
      <c r="AK62" s="1" t="str">
        <f t="shared" si="4"/>
        <v>宮野早織</v>
      </c>
      <c r="AL62" s="1" t="str">
        <f t="shared" si="5"/>
        <v>河地恵里</v>
      </c>
      <c r="AM62" s="1">
        <f t="shared" si="6"/>
        <v>140</v>
      </c>
      <c r="AN62" s="1" t="str">
        <f t="shared" si="11"/>
        <v>HRC</v>
      </c>
      <c r="AO62" s="1">
        <f t="shared" si="12"/>
        <v>3</v>
      </c>
      <c r="AP62" s="1">
        <f t="shared" si="13"/>
        <v>6</v>
      </c>
      <c r="AR62" s="281" t="s">
        <v>95</v>
      </c>
      <c r="AS62" s="275">
        <v>1</v>
      </c>
      <c r="AT62" s="275">
        <v>2</v>
      </c>
      <c r="AU62" s="275">
        <v>2</v>
      </c>
      <c r="AV62" s="282">
        <v>2</v>
      </c>
      <c r="AW62" s="1">
        <v>1</v>
      </c>
      <c r="AX62" s="281">
        <v>12</v>
      </c>
      <c r="AY62" s="275" t="str">
        <f t="shared" si="14"/>
        <v>5M12</v>
      </c>
      <c r="AZ62" s="275">
        <v>1</v>
      </c>
      <c r="BA62" s="275">
        <v>2</v>
      </c>
      <c r="BB62" s="275">
        <v>2</v>
      </c>
      <c r="BC62" s="291">
        <v>2</v>
      </c>
      <c r="BD62" s="283">
        <v>12</v>
      </c>
      <c r="BE62" s="276" t="str">
        <f t="shared" si="15"/>
        <v>6M12</v>
      </c>
      <c r="BF62" s="276">
        <v>1</v>
      </c>
      <c r="BG62" s="276">
        <v>6</v>
      </c>
      <c r="BH62" s="276">
        <v>3</v>
      </c>
      <c r="BI62" s="292">
        <v>6</v>
      </c>
      <c r="BJ62" s="281">
        <v>12</v>
      </c>
      <c r="BK62" s="275" t="str">
        <f t="shared" si="16"/>
        <v>7M12</v>
      </c>
      <c r="BL62" s="275">
        <v>1</v>
      </c>
      <c r="BM62" s="275">
        <v>5</v>
      </c>
      <c r="BN62" s="275">
        <v>3</v>
      </c>
      <c r="BO62" s="291">
        <v>5</v>
      </c>
      <c r="BP62" s="281">
        <v>12</v>
      </c>
      <c r="BQ62" s="275" t="str">
        <f t="shared" si="17"/>
        <v>8M12</v>
      </c>
      <c r="BR62" s="275">
        <v>1</v>
      </c>
      <c r="BS62" s="275">
        <v>4</v>
      </c>
      <c r="BT62" s="275">
        <v>3</v>
      </c>
      <c r="BU62" s="282">
        <v>4</v>
      </c>
    </row>
    <row r="63" spans="31:73">
      <c r="AE63" s="1">
        <f t="shared" si="7"/>
        <v>1</v>
      </c>
      <c r="AF63" s="1">
        <v>13</v>
      </c>
      <c r="AG63" s="1">
        <f t="shared" si="8"/>
        <v>1</v>
      </c>
      <c r="AH63" s="1">
        <f t="shared" si="9"/>
        <v>1</v>
      </c>
      <c r="AI63" s="1" t="str">
        <f t="shared" si="10"/>
        <v>NRC</v>
      </c>
      <c r="AJ63" s="1">
        <f t="shared" si="3"/>
        <v>180</v>
      </c>
      <c r="AK63" s="1" t="str">
        <f t="shared" si="4"/>
        <v>吉向翔平</v>
      </c>
      <c r="AL63" s="1" t="str">
        <f t="shared" si="5"/>
        <v>大橋正寛</v>
      </c>
      <c r="AM63" s="1">
        <f t="shared" si="6"/>
        <v>180</v>
      </c>
      <c r="AN63" s="1" t="str">
        <f t="shared" si="11"/>
        <v>SBC</v>
      </c>
      <c r="AO63" s="1">
        <f t="shared" si="12"/>
        <v>2</v>
      </c>
      <c r="AP63" s="1">
        <f t="shared" si="13"/>
        <v>1</v>
      </c>
      <c r="AR63" s="281" t="s">
        <v>96</v>
      </c>
      <c r="AS63" s="275">
        <v>1</v>
      </c>
      <c r="AT63" s="275">
        <v>3</v>
      </c>
      <c r="AU63" s="275">
        <v>2</v>
      </c>
      <c r="AV63" s="282">
        <v>3</v>
      </c>
      <c r="AW63" s="1">
        <v>1</v>
      </c>
      <c r="AX63" s="281">
        <v>13</v>
      </c>
      <c r="AY63" s="275" t="str">
        <f t="shared" si="14"/>
        <v>5M13</v>
      </c>
      <c r="AZ63" s="275">
        <v>1</v>
      </c>
      <c r="BA63" s="275">
        <v>3</v>
      </c>
      <c r="BB63" s="275">
        <v>2</v>
      </c>
      <c r="BC63" s="291">
        <v>3</v>
      </c>
      <c r="BD63" s="285">
        <v>13</v>
      </c>
      <c r="BE63" s="274" t="str">
        <f t="shared" si="15"/>
        <v>6M13</v>
      </c>
      <c r="BF63" s="274">
        <v>1</v>
      </c>
      <c r="BG63" s="274">
        <v>1</v>
      </c>
      <c r="BH63" s="274">
        <v>2</v>
      </c>
      <c r="BI63" s="293">
        <v>1</v>
      </c>
      <c r="BJ63" s="281">
        <v>13</v>
      </c>
      <c r="BK63" s="275" t="str">
        <f t="shared" si="16"/>
        <v>7M13</v>
      </c>
      <c r="BL63" s="275">
        <v>1</v>
      </c>
      <c r="BM63" s="275">
        <v>6</v>
      </c>
      <c r="BN63" s="275">
        <v>3</v>
      </c>
      <c r="BO63" s="291">
        <v>6</v>
      </c>
      <c r="BP63" s="281">
        <v>13</v>
      </c>
      <c r="BQ63" s="275" t="str">
        <f t="shared" si="17"/>
        <v>8M13</v>
      </c>
      <c r="BR63" s="275">
        <v>1</v>
      </c>
      <c r="BS63" s="275">
        <v>5</v>
      </c>
      <c r="BT63" s="275">
        <v>3</v>
      </c>
      <c r="BU63" s="282">
        <v>5</v>
      </c>
    </row>
    <row r="64" spans="31:73">
      <c r="AE64" s="1">
        <f t="shared" si="7"/>
        <v>1</v>
      </c>
      <c r="AF64" s="1">
        <v>14</v>
      </c>
      <c r="AG64" s="1">
        <f t="shared" si="8"/>
        <v>1</v>
      </c>
      <c r="AH64" s="1">
        <f t="shared" si="9"/>
        <v>2</v>
      </c>
      <c r="AI64" s="1" t="str">
        <f t="shared" si="10"/>
        <v>NRC</v>
      </c>
      <c r="AJ64" s="1">
        <f t="shared" si="3"/>
        <v>180</v>
      </c>
      <c r="AK64" s="1" t="str">
        <f t="shared" si="4"/>
        <v>岩本剛</v>
      </c>
      <c r="AL64" s="1" t="str">
        <f t="shared" si="5"/>
        <v>長田智紀</v>
      </c>
      <c r="AM64" s="1">
        <f t="shared" si="6"/>
        <v>180</v>
      </c>
      <c r="AN64" s="1" t="str">
        <f t="shared" si="11"/>
        <v>SBC</v>
      </c>
      <c r="AO64" s="1">
        <f t="shared" si="12"/>
        <v>2</v>
      </c>
      <c r="AP64" s="1">
        <f t="shared" si="13"/>
        <v>2</v>
      </c>
      <c r="AR64" s="281" t="s">
        <v>97</v>
      </c>
      <c r="AS64" s="275">
        <v>1</v>
      </c>
      <c r="AT64" s="275">
        <v>4</v>
      </c>
      <c r="AU64" s="275">
        <v>2</v>
      </c>
      <c r="AV64" s="282">
        <v>4</v>
      </c>
      <c r="AW64" s="1">
        <v>1</v>
      </c>
      <c r="AX64" s="281">
        <v>14</v>
      </c>
      <c r="AY64" s="275" t="str">
        <f t="shared" si="14"/>
        <v>5M14</v>
      </c>
      <c r="AZ64" s="275">
        <v>1</v>
      </c>
      <c r="BA64" s="275">
        <v>4</v>
      </c>
      <c r="BB64" s="275">
        <v>2</v>
      </c>
      <c r="BC64" s="291">
        <v>4</v>
      </c>
      <c r="BD64" s="281">
        <v>14</v>
      </c>
      <c r="BE64" s="275" t="str">
        <f t="shared" si="15"/>
        <v>6M14</v>
      </c>
      <c r="BF64" s="275">
        <v>1</v>
      </c>
      <c r="BG64" s="275">
        <v>2</v>
      </c>
      <c r="BH64" s="275">
        <v>2</v>
      </c>
      <c r="BI64" s="291">
        <v>2</v>
      </c>
      <c r="BJ64" s="283">
        <v>14</v>
      </c>
      <c r="BK64" s="276" t="str">
        <f t="shared" si="16"/>
        <v>7M14</v>
      </c>
      <c r="BL64" s="276">
        <v>1</v>
      </c>
      <c r="BM64" s="276">
        <v>7</v>
      </c>
      <c r="BN64" s="276">
        <v>3</v>
      </c>
      <c r="BO64" s="292">
        <v>7</v>
      </c>
      <c r="BP64" s="281">
        <v>14</v>
      </c>
      <c r="BQ64" s="275" t="str">
        <f t="shared" si="17"/>
        <v>8M14</v>
      </c>
      <c r="BR64" s="275">
        <v>1</v>
      </c>
      <c r="BS64" s="275">
        <v>6</v>
      </c>
      <c r="BT64" s="275">
        <v>3</v>
      </c>
      <c r="BU64" s="282">
        <v>6</v>
      </c>
    </row>
    <row r="65" spans="31:73" ht="16.8" thickBot="1">
      <c r="AE65" s="1">
        <f t="shared" si="7"/>
        <v>1</v>
      </c>
      <c r="AF65" s="1">
        <v>15</v>
      </c>
      <c r="AG65" s="1">
        <f t="shared" si="8"/>
        <v>1</v>
      </c>
      <c r="AH65" s="1">
        <f t="shared" si="9"/>
        <v>3</v>
      </c>
      <c r="AI65" s="1" t="str">
        <f t="shared" si="10"/>
        <v>NRC</v>
      </c>
      <c r="AJ65" s="1">
        <f t="shared" si="3"/>
        <v>180</v>
      </c>
      <c r="AK65" s="1" t="str">
        <f t="shared" si="4"/>
        <v>長谷川進</v>
      </c>
      <c r="AL65" s="1" t="str">
        <f t="shared" si="5"/>
        <v>西峰久祐</v>
      </c>
      <c r="AM65" s="1">
        <f t="shared" si="6"/>
        <v>180</v>
      </c>
      <c r="AN65" s="1" t="str">
        <f t="shared" si="11"/>
        <v>SBC</v>
      </c>
      <c r="AO65" s="1">
        <f t="shared" si="12"/>
        <v>2</v>
      </c>
      <c r="AP65" s="1">
        <f t="shared" si="13"/>
        <v>3</v>
      </c>
      <c r="AR65" s="287" t="s">
        <v>98</v>
      </c>
      <c r="AS65" s="288">
        <v>1</v>
      </c>
      <c r="AT65" s="288">
        <v>5</v>
      </c>
      <c r="AU65" s="288">
        <v>2</v>
      </c>
      <c r="AV65" s="289">
        <v>5</v>
      </c>
      <c r="AW65" s="1">
        <v>1</v>
      </c>
      <c r="AX65" s="287">
        <v>15</v>
      </c>
      <c r="AY65" s="288" t="str">
        <f t="shared" si="14"/>
        <v>5M15</v>
      </c>
      <c r="AZ65" s="288">
        <v>1</v>
      </c>
      <c r="BA65" s="288">
        <v>5</v>
      </c>
      <c r="BB65" s="288">
        <v>2</v>
      </c>
      <c r="BC65" s="294">
        <v>5</v>
      </c>
      <c r="BD65" s="281">
        <v>15</v>
      </c>
      <c r="BE65" s="275" t="str">
        <f t="shared" si="15"/>
        <v>6M15</v>
      </c>
      <c r="BF65" s="275">
        <v>1</v>
      </c>
      <c r="BG65" s="275">
        <v>3</v>
      </c>
      <c r="BH65" s="275">
        <v>2</v>
      </c>
      <c r="BI65" s="291">
        <v>3</v>
      </c>
      <c r="BJ65" s="285">
        <v>15</v>
      </c>
      <c r="BK65" s="274" t="str">
        <f t="shared" si="16"/>
        <v>7M15</v>
      </c>
      <c r="BL65" s="274">
        <v>1</v>
      </c>
      <c r="BM65" s="274">
        <v>1</v>
      </c>
      <c r="BN65" s="274">
        <v>2</v>
      </c>
      <c r="BO65" s="293">
        <v>1</v>
      </c>
      <c r="BP65" s="281">
        <v>15</v>
      </c>
      <c r="BQ65" s="275" t="str">
        <f t="shared" si="17"/>
        <v>8M15</v>
      </c>
      <c r="BR65" s="275">
        <v>1</v>
      </c>
      <c r="BS65" s="275">
        <v>7</v>
      </c>
      <c r="BT65" s="275">
        <v>3</v>
      </c>
      <c r="BU65" s="282">
        <v>7</v>
      </c>
    </row>
    <row r="66" spans="31:73">
      <c r="AE66" s="1">
        <f t="shared" si="7"/>
        <v>1</v>
      </c>
      <c r="AF66" s="1">
        <v>16</v>
      </c>
      <c r="AG66" s="1">
        <f t="shared" si="8"/>
        <v>1</v>
      </c>
      <c r="AH66" s="1">
        <f t="shared" si="9"/>
        <v>4</v>
      </c>
      <c r="AI66" s="1" t="str">
        <f t="shared" si="10"/>
        <v>NRC</v>
      </c>
      <c r="AJ66" s="1">
        <f t="shared" si="3"/>
        <v>180</v>
      </c>
      <c r="AK66" s="1" t="str">
        <f t="shared" si="4"/>
        <v>井本高史</v>
      </c>
      <c r="AL66" s="1" t="str">
        <f t="shared" si="5"/>
        <v>大橋義治</v>
      </c>
      <c r="AM66" s="1">
        <f t="shared" si="6"/>
        <v>180</v>
      </c>
      <c r="AN66" s="1" t="str">
        <f t="shared" si="11"/>
        <v>SBC</v>
      </c>
      <c r="AO66" s="1">
        <f t="shared" si="12"/>
        <v>2</v>
      </c>
      <c r="AP66" s="1">
        <f t="shared" si="13"/>
        <v>4</v>
      </c>
      <c r="AR66" s="278" t="s">
        <v>99</v>
      </c>
      <c r="AS66" s="279">
        <v>2</v>
      </c>
      <c r="AT66" s="279">
        <v>2</v>
      </c>
      <c r="AU66" s="279">
        <v>3</v>
      </c>
      <c r="AV66" s="280">
        <v>3</v>
      </c>
      <c r="AW66" s="1">
        <v>2</v>
      </c>
      <c r="AX66" s="278">
        <v>16</v>
      </c>
      <c r="AY66" s="279" t="str">
        <f t="shared" si="14"/>
        <v>5M16</v>
      </c>
      <c r="AZ66" s="279">
        <v>2</v>
      </c>
      <c r="BA66" s="279">
        <v>2</v>
      </c>
      <c r="BB66" s="279">
        <v>3</v>
      </c>
      <c r="BC66" s="290">
        <v>3</v>
      </c>
      <c r="BD66" s="281">
        <v>16</v>
      </c>
      <c r="BE66" s="275" t="str">
        <f t="shared" si="15"/>
        <v>6M16</v>
      </c>
      <c r="BF66" s="275">
        <v>1</v>
      </c>
      <c r="BG66" s="275">
        <v>4</v>
      </c>
      <c r="BH66" s="275">
        <v>2</v>
      </c>
      <c r="BI66" s="291">
        <v>4</v>
      </c>
      <c r="BJ66" s="281">
        <v>16</v>
      </c>
      <c r="BK66" s="275" t="str">
        <f t="shared" si="16"/>
        <v>7M16</v>
      </c>
      <c r="BL66" s="275">
        <v>1</v>
      </c>
      <c r="BM66" s="275">
        <v>2</v>
      </c>
      <c r="BN66" s="275">
        <v>2</v>
      </c>
      <c r="BO66" s="291">
        <v>2</v>
      </c>
      <c r="BP66" s="283">
        <v>16</v>
      </c>
      <c r="BQ66" s="276" t="str">
        <f t="shared" si="17"/>
        <v>8M16</v>
      </c>
      <c r="BR66" s="276">
        <v>1</v>
      </c>
      <c r="BS66" s="276">
        <v>8</v>
      </c>
      <c r="BT66" s="276">
        <v>3</v>
      </c>
      <c r="BU66" s="284">
        <v>8</v>
      </c>
    </row>
    <row r="67" spans="31:73">
      <c r="AE67" s="1">
        <f t="shared" si="7"/>
        <v>1</v>
      </c>
      <c r="AF67" s="1">
        <v>17</v>
      </c>
      <c r="AG67" s="1">
        <f t="shared" si="8"/>
        <v>1</v>
      </c>
      <c r="AH67" s="1">
        <f t="shared" si="9"/>
        <v>5</v>
      </c>
      <c r="AI67" s="1" t="str">
        <f t="shared" si="10"/>
        <v>NRC</v>
      </c>
      <c r="AJ67" s="1">
        <f t="shared" si="3"/>
        <v>180</v>
      </c>
      <c r="AK67" s="1" t="str">
        <f t="shared" si="4"/>
        <v>金澤茂昌</v>
      </c>
      <c r="AL67" s="1" t="str">
        <f t="shared" si="5"/>
        <v>山中康寛</v>
      </c>
      <c r="AM67" s="1">
        <f t="shared" si="6"/>
        <v>180</v>
      </c>
      <c r="AN67" s="1" t="str">
        <f t="shared" si="11"/>
        <v>SBC</v>
      </c>
      <c r="AO67" s="1">
        <f t="shared" si="12"/>
        <v>2</v>
      </c>
      <c r="AP67" s="1">
        <f t="shared" si="13"/>
        <v>5</v>
      </c>
      <c r="AR67" s="281" t="s">
        <v>100</v>
      </c>
      <c r="AS67" s="275">
        <v>2</v>
      </c>
      <c r="AT67" s="275">
        <v>3</v>
      </c>
      <c r="AU67" s="275">
        <v>3</v>
      </c>
      <c r="AV67" s="282">
        <v>4</v>
      </c>
      <c r="AW67" s="1">
        <v>2</v>
      </c>
      <c r="AX67" s="281">
        <v>17</v>
      </c>
      <c r="AY67" s="275" t="str">
        <f t="shared" si="14"/>
        <v>5M17</v>
      </c>
      <c r="AZ67" s="275">
        <v>2</v>
      </c>
      <c r="BA67" s="275">
        <v>3</v>
      </c>
      <c r="BB67" s="275">
        <v>3</v>
      </c>
      <c r="BC67" s="291">
        <v>4</v>
      </c>
      <c r="BD67" s="281">
        <v>17</v>
      </c>
      <c r="BE67" s="275" t="str">
        <f t="shared" si="15"/>
        <v>6M17</v>
      </c>
      <c r="BF67" s="275">
        <v>1</v>
      </c>
      <c r="BG67" s="275">
        <v>5</v>
      </c>
      <c r="BH67" s="275">
        <v>2</v>
      </c>
      <c r="BI67" s="291">
        <v>5</v>
      </c>
      <c r="BJ67" s="281">
        <v>17</v>
      </c>
      <c r="BK67" s="275" t="str">
        <f t="shared" si="16"/>
        <v>7M17</v>
      </c>
      <c r="BL67" s="275">
        <v>1</v>
      </c>
      <c r="BM67" s="275">
        <v>3</v>
      </c>
      <c r="BN67" s="275">
        <v>2</v>
      </c>
      <c r="BO67" s="291">
        <v>3</v>
      </c>
      <c r="BP67" s="285">
        <v>17</v>
      </c>
      <c r="BQ67" s="274" t="str">
        <f t="shared" si="17"/>
        <v>8M17</v>
      </c>
      <c r="BR67" s="274">
        <v>1</v>
      </c>
      <c r="BS67" s="274">
        <v>1</v>
      </c>
      <c r="BT67" s="274">
        <v>2</v>
      </c>
      <c r="BU67" s="286">
        <v>1</v>
      </c>
    </row>
    <row r="68" spans="31:73" ht="16.8" thickBot="1">
      <c r="AE68" s="1">
        <f t="shared" si="7"/>
        <v>1</v>
      </c>
      <c r="AF68" s="1">
        <v>18</v>
      </c>
      <c r="AG68" s="1">
        <f t="shared" si="8"/>
        <v>1</v>
      </c>
      <c r="AH68" s="1">
        <f t="shared" si="9"/>
        <v>6</v>
      </c>
      <c r="AI68" s="1" t="str">
        <f t="shared" si="10"/>
        <v>NRC</v>
      </c>
      <c r="AJ68" s="1">
        <f t="shared" si="3"/>
        <v>140</v>
      </c>
      <c r="AK68" s="1" t="str">
        <f t="shared" si="4"/>
        <v>宮野早織</v>
      </c>
      <c r="AL68" s="1" t="str">
        <f t="shared" si="5"/>
        <v>大橋洋子</v>
      </c>
      <c r="AM68" s="1">
        <f t="shared" si="6"/>
        <v>140</v>
      </c>
      <c r="AN68" s="1" t="str">
        <f t="shared" si="11"/>
        <v>SBC</v>
      </c>
      <c r="AO68" s="1">
        <f t="shared" si="12"/>
        <v>2</v>
      </c>
      <c r="AP68" s="1">
        <f t="shared" si="13"/>
        <v>6</v>
      </c>
      <c r="AR68" s="281" t="s">
        <v>101</v>
      </c>
      <c r="AS68" s="275">
        <v>2</v>
      </c>
      <c r="AT68" s="275">
        <v>4</v>
      </c>
      <c r="AU68" s="275">
        <v>3</v>
      </c>
      <c r="AV68" s="282">
        <v>5</v>
      </c>
      <c r="AW68" s="1">
        <v>2</v>
      </c>
      <c r="AX68" s="281">
        <v>18</v>
      </c>
      <c r="AY68" s="275" t="str">
        <f t="shared" si="14"/>
        <v>5M18</v>
      </c>
      <c r="AZ68" s="275">
        <v>2</v>
      </c>
      <c r="BA68" s="275">
        <v>4</v>
      </c>
      <c r="BB68" s="275">
        <v>3</v>
      </c>
      <c r="BC68" s="291">
        <v>5</v>
      </c>
      <c r="BD68" s="287">
        <v>18</v>
      </c>
      <c r="BE68" s="288" t="str">
        <f t="shared" si="15"/>
        <v>6M18</v>
      </c>
      <c r="BF68" s="288">
        <v>1</v>
      </c>
      <c r="BG68" s="288">
        <v>6</v>
      </c>
      <c r="BH68" s="288">
        <v>2</v>
      </c>
      <c r="BI68" s="294">
        <v>6</v>
      </c>
      <c r="BJ68" s="281">
        <v>18</v>
      </c>
      <c r="BK68" s="275" t="str">
        <f t="shared" si="16"/>
        <v>7M18</v>
      </c>
      <c r="BL68" s="275">
        <v>1</v>
      </c>
      <c r="BM68" s="275">
        <v>4</v>
      </c>
      <c r="BN68" s="275">
        <v>2</v>
      </c>
      <c r="BO68" s="291">
        <v>4</v>
      </c>
      <c r="BP68" s="281">
        <v>18</v>
      </c>
      <c r="BQ68" s="275" t="str">
        <f t="shared" si="17"/>
        <v>8M18</v>
      </c>
      <c r="BR68" s="275">
        <v>1</v>
      </c>
      <c r="BS68" s="275">
        <v>2</v>
      </c>
      <c r="BT68" s="275">
        <v>2</v>
      </c>
      <c r="BU68" s="282">
        <v>2</v>
      </c>
    </row>
    <row r="69" spans="31:73">
      <c r="AE69" s="1">
        <f t="shared" si="7"/>
        <v>2</v>
      </c>
      <c r="AF69" s="1">
        <v>19</v>
      </c>
      <c r="AG69" s="1">
        <f t="shared" si="8"/>
        <v>2</v>
      </c>
      <c r="AH69" s="1">
        <f t="shared" si="9"/>
        <v>2</v>
      </c>
      <c r="AI69" s="1" t="str">
        <f t="shared" si="10"/>
        <v>SBC</v>
      </c>
      <c r="AJ69" s="1">
        <f t="shared" si="3"/>
        <v>180</v>
      </c>
      <c r="AK69" s="1" t="str">
        <f t="shared" si="4"/>
        <v>長田智紀</v>
      </c>
      <c r="AL69" s="1" t="str">
        <f t="shared" si="5"/>
        <v>平井洸志</v>
      </c>
      <c r="AM69" s="1">
        <f t="shared" si="6"/>
        <v>180</v>
      </c>
      <c r="AN69" s="1" t="str">
        <f t="shared" si="11"/>
        <v>HRC</v>
      </c>
      <c r="AO69" s="1">
        <f t="shared" si="12"/>
        <v>3</v>
      </c>
      <c r="AP69" s="1">
        <f t="shared" si="13"/>
        <v>3</v>
      </c>
      <c r="AR69" s="281" t="s">
        <v>102</v>
      </c>
      <c r="AS69" s="275">
        <v>2</v>
      </c>
      <c r="AT69" s="275">
        <v>5</v>
      </c>
      <c r="AU69" s="275">
        <v>3</v>
      </c>
      <c r="AV69" s="282">
        <v>1</v>
      </c>
      <c r="AW69" s="1">
        <v>2</v>
      </c>
      <c r="AX69" s="281">
        <v>19</v>
      </c>
      <c r="AY69" s="275" t="str">
        <f t="shared" si="14"/>
        <v>5M19</v>
      </c>
      <c r="AZ69" s="275">
        <v>2</v>
      </c>
      <c r="BA69" s="275">
        <v>5</v>
      </c>
      <c r="BB69" s="275">
        <v>3</v>
      </c>
      <c r="BC69" s="282">
        <v>1</v>
      </c>
      <c r="BD69" s="278">
        <v>19</v>
      </c>
      <c r="BE69" s="279" t="str">
        <f t="shared" si="15"/>
        <v>6M19</v>
      </c>
      <c r="BF69" s="279">
        <v>2</v>
      </c>
      <c r="BG69" s="279">
        <v>2</v>
      </c>
      <c r="BH69" s="279">
        <v>3</v>
      </c>
      <c r="BI69" s="290">
        <v>3</v>
      </c>
      <c r="BJ69" s="281">
        <v>19</v>
      </c>
      <c r="BK69" s="275" t="str">
        <f t="shared" si="16"/>
        <v>7M19</v>
      </c>
      <c r="BL69" s="275">
        <v>1</v>
      </c>
      <c r="BM69" s="275">
        <v>5</v>
      </c>
      <c r="BN69" s="275">
        <v>2</v>
      </c>
      <c r="BO69" s="291">
        <v>5</v>
      </c>
      <c r="BP69" s="281">
        <v>19</v>
      </c>
      <c r="BQ69" s="275" t="str">
        <f t="shared" si="17"/>
        <v>8M19</v>
      </c>
      <c r="BR69" s="275">
        <v>1</v>
      </c>
      <c r="BS69" s="275">
        <v>3</v>
      </c>
      <c r="BT69" s="275">
        <v>2</v>
      </c>
      <c r="BU69" s="282">
        <v>3</v>
      </c>
    </row>
    <row r="70" spans="31:73">
      <c r="AE70" s="1">
        <f t="shared" si="7"/>
        <v>2</v>
      </c>
      <c r="AF70" s="1">
        <v>20</v>
      </c>
      <c r="AG70" s="1">
        <f t="shared" si="8"/>
        <v>2</v>
      </c>
      <c r="AH70" s="1">
        <f t="shared" ref="AH70:AH86" si="18">VLOOKUP($AI$49&amp;AF70,$AR$51:$AW$1166,3,FALSE)</f>
        <v>3</v>
      </c>
      <c r="AI70" s="1" t="str">
        <f t="shared" ref="AI70:AI86" si="19">VLOOKUP(AG70,$AH$44:$AI$46,2,FALSE)</f>
        <v>SBC</v>
      </c>
      <c r="AJ70" s="1">
        <f t="shared" si="3"/>
        <v>180</v>
      </c>
      <c r="AK70" s="1" t="str">
        <f t="shared" si="4"/>
        <v>西峰久祐</v>
      </c>
      <c r="AL70" s="1" t="str">
        <f t="shared" si="5"/>
        <v>宮井健太郎</v>
      </c>
      <c r="AM70" s="1">
        <f t="shared" si="6"/>
        <v>180</v>
      </c>
      <c r="AN70" s="1" t="str">
        <f t="shared" si="11"/>
        <v>HRC</v>
      </c>
      <c r="AO70" s="1">
        <f t="shared" ref="AO70:AO86" si="20">VLOOKUP($AI$49&amp;AF70,$AR$51:$AW$1166,4,FALSE)</f>
        <v>3</v>
      </c>
      <c r="AP70" s="1">
        <f t="shared" ref="AP70:AP86" si="21">VLOOKUP($AI$49&amp;AF70,$AR$51:$AW$1166,5,FALSE)</f>
        <v>4</v>
      </c>
      <c r="AR70" s="283" t="s">
        <v>103</v>
      </c>
      <c r="AS70" s="276">
        <v>2</v>
      </c>
      <c r="AT70" s="276">
        <v>1</v>
      </c>
      <c r="AU70" s="276">
        <v>3</v>
      </c>
      <c r="AV70" s="284">
        <v>2</v>
      </c>
      <c r="AW70" s="1">
        <v>2</v>
      </c>
      <c r="AX70" s="283">
        <v>20</v>
      </c>
      <c r="AY70" s="276" t="str">
        <f t="shared" si="14"/>
        <v>5M20</v>
      </c>
      <c r="AZ70" s="276">
        <v>2</v>
      </c>
      <c r="BA70" s="276">
        <v>1</v>
      </c>
      <c r="BB70" s="276">
        <v>3</v>
      </c>
      <c r="BC70" s="284">
        <v>2</v>
      </c>
      <c r="BD70" s="281">
        <v>20</v>
      </c>
      <c r="BE70" s="275" t="str">
        <f t="shared" si="15"/>
        <v>6M20</v>
      </c>
      <c r="BF70" s="275">
        <v>2</v>
      </c>
      <c r="BG70" s="275">
        <v>3</v>
      </c>
      <c r="BH70" s="275">
        <v>3</v>
      </c>
      <c r="BI70" s="291">
        <v>4</v>
      </c>
      <c r="BJ70" s="281">
        <v>20</v>
      </c>
      <c r="BK70" s="275" t="str">
        <f t="shared" si="16"/>
        <v>7M20</v>
      </c>
      <c r="BL70" s="275">
        <v>1</v>
      </c>
      <c r="BM70" s="275">
        <v>6</v>
      </c>
      <c r="BN70" s="275">
        <v>2</v>
      </c>
      <c r="BO70" s="291">
        <v>6</v>
      </c>
      <c r="BP70" s="281">
        <v>20</v>
      </c>
      <c r="BQ70" s="275" t="str">
        <f t="shared" si="17"/>
        <v>8M20</v>
      </c>
      <c r="BR70" s="275">
        <v>1</v>
      </c>
      <c r="BS70" s="275">
        <v>4</v>
      </c>
      <c r="BT70" s="275">
        <v>2</v>
      </c>
      <c r="BU70" s="282">
        <v>4</v>
      </c>
    </row>
    <row r="71" spans="31:73" ht="16.8" thickBot="1">
      <c r="AE71" s="1">
        <f t="shared" si="7"/>
        <v>2</v>
      </c>
      <c r="AF71" s="1">
        <v>21</v>
      </c>
      <c r="AG71" s="1">
        <f t="shared" si="8"/>
        <v>2</v>
      </c>
      <c r="AH71" s="1">
        <f t="shared" si="18"/>
        <v>4</v>
      </c>
      <c r="AI71" s="1" t="str">
        <f t="shared" si="19"/>
        <v>SBC</v>
      </c>
      <c r="AJ71" s="1">
        <f t="shared" si="3"/>
        <v>180</v>
      </c>
      <c r="AK71" s="1" t="str">
        <f t="shared" si="4"/>
        <v>大橋義治</v>
      </c>
      <c r="AL71" s="1" t="str">
        <f t="shared" si="5"/>
        <v>金井健太郎</v>
      </c>
      <c r="AM71" s="1">
        <f t="shared" si="6"/>
        <v>180</v>
      </c>
      <c r="AN71" s="1" t="str">
        <f t="shared" si="11"/>
        <v>HRC</v>
      </c>
      <c r="AO71" s="1">
        <f t="shared" si="20"/>
        <v>3</v>
      </c>
      <c r="AP71" s="1">
        <f t="shared" si="21"/>
        <v>5</v>
      </c>
      <c r="AR71" s="285" t="s">
        <v>104</v>
      </c>
      <c r="AS71" s="274">
        <v>1</v>
      </c>
      <c r="AT71" s="274">
        <v>1</v>
      </c>
      <c r="AU71" s="274">
        <v>3</v>
      </c>
      <c r="AV71" s="286">
        <v>3</v>
      </c>
      <c r="AW71" s="1">
        <v>2</v>
      </c>
      <c r="AX71" s="285">
        <v>21</v>
      </c>
      <c r="AY71" s="274" t="str">
        <f t="shared" si="14"/>
        <v>5M21</v>
      </c>
      <c r="AZ71" s="274">
        <v>1</v>
      </c>
      <c r="BA71" s="274">
        <v>1</v>
      </c>
      <c r="BB71" s="274">
        <v>3</v>
      </c>
      <c r="BC71" s="286">
        <v>3</v>
      </c>
      <c r="BD71" s="281">
        <v>21</v>
      </c>
      <c r="BE71" s="275" t="str">
        <f t="shared" si="15"/>
        <v>6M21</v>
      </c>
      <c r="BF71" s="275">
        <v>2</v>
      </c>
      <c r="BG71" s="275">
        <v>4</v>
      </c>
      <c r="BH71" s="275">
        <v>3</v>
      </c>
      <c r="BI71" s="291">
        <v>5</v>
      </c>
      <c r="BJ71" s="287">
        <v>21</v>
      </c>
      <c r="BK71" s="288" t="str">
        <f t="shared" si="16"/>
        <v>7M21</v>
      </c>
      <c r="BL71" s="288">
        <v>1</v>
      </c>
      <c r="BM71" s="288">
        <v>7</v>
      </c>
      <c r="BN71" s="288">
        <v>2</v>
      </c>
      <c r="BO71" s="294">
        <v>7</v>
      </c>
      <c r="BP71" s="281">
        <v>21</v>
      </c>
      <c r="BQ71" s="275" t="str">
        <f t="shared" si="17"/>
        <v>8M21</v>
      </c>
      <c r="BR71" s="275">
        <v>1</v>
      </c>
      <c r="BS71" s="275">
        <v>5</v>
      </c>
      <c r="BT71" s="275">
        <v>2</v>
      </c>
      <c r="BU71" s="282">
        <v>5</v>
      </c>
    </row>
    <row r="72" spans="31:73">
      <c r="AE72" s="1">
        <f t="shared" si="7"/>
        <v>2</v>
      </c>
      <c r="AF72" s="1">
        <v>22</v>
      </c>
      <c r="AG72" s="1">
        <f t="shared" si="8"/>
        <v>2</v>
      </c>
      <c r="AH72" s="1">
        <f t="shared" si="18"/>
        <v>5</v>
      </c>
      <c r="AI72" s="1" t="str">
        <f t="shared" si="19"/>
        <v>SBC</v>
      </c>
      <c r="AJ72" s="1">
        <f t="shared" si="3"/>
        <v>180</v>
      </c>
      <c r="AK72" s="1" t="str">
        <f t="shared" si="4"/>
        <v>山中康寛</v>
      </c>
      <c r="AL72" s="1" t="str">
        <f t="shared" si="5"/>
        <v>河地恵里</v>
      </c>
      <c r="AM72" s="1">
        <f t="shared" si="6"/>
        <v>140</v>
      </c>
      <c r="AN72" s="1" t="str">
        <f t="shared" si="11"/>
        <v>HRC</v>
      </c>
      <c r="AO72" s="1">
        <f t="shared" si="20"/>
        <v>3</v>
      </c>
      <c r="AP72" s="1">
        <f t="shared" si="21"/>
        <v>6</v>
      </c>
      <c r="AR72" s="281" t="s">
        <v>105</v>
      </c>
      <c r="AS72" s="275">
        <v>1</v>
      </c>
      <c r="AT72" s="275">
        <v>2</v>
      </c>
      <c r="AU72" s="275">
        <v>3</v>
      </c>
      <c r="AV72" s="282">
        <v>4</v>
      </c>
      <c r="AW72" s="1">
        <v>2</v>
      </c>
      <c r="AX72" s="281">
        <v>22</v>
      </c>
      <c r="AY72" s="275" t="str">
        <f t="shared" si="14"/>
        <v>5M22</v>
      </c>
      <c r="AZ72" s="275">
        <v>1</v>
      </c>
      <c r="BA72" s="275">
        <v>2</v>
      </c>
      <c r="BB72" s="275">
        <v>3</v>
      </c>
      <c r="BC72" s="282">
        <v>4</v>
      </c>
      <c r="BD72" s="281">
        <v>22</v>
      </c>
      <c r="BE72" s="275" t="str">
        <f t="shared" si="15"/>
        <v>6M22</v>
      </c>
      <c r="BF72" s="275">
        <v>2</v>
      </c>
      <c r="BG72" s="275">
        <v>5</v>
      </c>
      <c r="BH72" s="275">
        <v>3</v>
      </c>
      <c r="BI72" s="282">
        <v>6</v>
      </c>
      <c r="BJ72" s="278">
        <v>22</v>
      </c>
      <c r="BK72" s="279" t="str">
        <f t="shared" si="16"/>
        <v>7M22</v>
      </c>
      <c r="BL72" s="279">
        <v>2</v>
      </c>
      <c r="BM72" s="279">
        <v>2</v>
      </c>
      <c r="BN72" s="279">
        <v>3</v>
      </c>
      <c r="BO72" s="290">
        <v>3</v>
      </c>
      <c r="BP72" s="281">
        <v>22</v>
      </c>
      <c r="BQ72" s="275" t="str">
        <f t="shared" si="17"/>
        <v>8M22</v>
      </c>
      <c r="BR72" s="275">
        <v>1</v>
      </c>
      <c r="BS72" s="275">
        <v>6</v>
      </c>
      <c r="BT72" s="275">
        <v>2</v>
      </c>
      <c r="BU72" s="282">
        <v>6</v>
      </c>
    </row>
    <row r="73" spans="31:73">
      <c r="AE73" s="1">
        <f t="shared" si="7"/>
        <v>2</v>
      </c>
      <c r="AF73" s="1">
        <v>23</v>
      </c>
      <c r="AG73" s="1">
        <f t="shared" si="8"/>
        <v>2</v>
      </c>
      <c r="AH73" s="1">
        <f t="shared" si="18"/>
        <v>6</v>
      </c>
      <c r="AI73" s="1" t="str">
        <f t="shared" si="19"/>
        <v>SBC</v>
      </c>
      <c r="AJ73" s="1">
        <f t="shared" si="3"/>
        <v>140</v>
      </c>
      <c r="AK73" s="1" t="str">
        <f t="shared" si="4"/>
        <v>大橋洋子</v>
      </c>
      <c r="AL73" s="1" t="str">
        <f t="shared" si="5"/>
        <v>宮本一</v>
      </c>
      <c r="AM73" s="1">
        <f t="shared" si="6"/>
        <v>180</v>
      </c>
      <c r="AN73" s="1" t="str">
        <f t="shared" si="11"/>
        <v>HRC</v>
      </c>
      <c r="AO73" s="1">
        <f t="shared" si="20"/>
        <v>3</v>
      </c>
      <c r="AP73" s="1">
        <f t="shared" si="21"/>
        <v>1</v>
      </c>
      <c r="AR73" s="281" t="s">
        <v>106</v>
      </c>
      <c r="AS73" s="275">
        <v>1</v>
      </c>
      <c r="AT73" s="275">
        <v>3</v>
      </c>
      <c r="AU73" s="275">
        <v>3</v>
      </c>
      <c r="AV73" s="282">
        <v>5</v>
      </c>
      <c r="AW73" s="1">
        <v>2</v>
      </c>
      <c r="AX73" s="281">
        <v>23</v>
      </c>
      <c r="AY73" s="275" t="str">
        <f t="shared" si="14"/>
        <v>5M23</v>
      </c>
      <c r="AZ73" s="275">
        <v>1</v>
      </c>
      <c r="BA73" s="275">
        <v>3</v>
      </c>
      <c r="BB73" s="275">
        <v>3</v>
      </c>
      <c r="BC73" s="282">
        <v>5</v>
      </c>
      <c r="BD73" s="281">
        <v>23</v>
      </c>
      <c r="BE73" s="275" t="str">
        <f t="shared" si="15"/>
        <v>6M23</v>
      </c>
      <c r="BF73" s="275">
        <v>2</v>
      </c>
      <c r="BG73" s="275">
        <v>6</v>
      </c>
      <c r="BH73" s="275">
        <v>3</v>
      </c>
      <c r="BI73" s="282">
        <v>1</v>
      </c>
      <c r="BJ73" s="281">
        <v>23</v>
      </c>
      <c r="BK73" s="275" t="str">
        <f t="shared" si="16"/>
        <v>7M23</v>
      </c>
      <c r="BL73" s="275">
        <v>2</v>
      </c>
      <c r="BM73" s="275">
        <v>3</v>
      </c>
      <c r="BN73" s="275">
        <v>3</v>
      </c>
      <c r="BO73" s="291">
        <v>4</v>
      </c>
      <c r="BP73" s="281">
        <v>23</v>
      </c>
      <c r="BQ73" s="275" t="str">
        <f t="shared" si="17"/>
        <v>8M23</v>
      </c>
      <c r="BR73" s="275">
        <v>1</v>
      </c>
      <c r="BS73" s="275">
        <v>7</v>
      </c>
      <c r="BT73" s="275">
        <v>2</v>
      </c>
      <c r="BU73" s="282">
        <v>7</v>
      </c>
    </row>
    <row r="74" spans="31:73" ht="16.8" thickBot="1">
      <c r="AE74" s="1">
        <f t="shared" si="7"/>
        <v>2</v>
      </c>
      <c r="AF74" s="1">
        <v>24</v>
      </c>
      <c r="AG74" s="1">
        <f t="shared" si="8"/>
        <v>2</v>
      </c>
      <c r="AH74" s="1">
        <f t="shared" si="18"/>
        <v>1</v>
      </c>
      <c r="AI74" s="1" t="str">
        <f t="shared" si="19"/>
        <v>SBC</v>
      </c>
      <c r="AJ74" s="1">
        <f t="shared" si="3"/>
        <v>180</v>
      </c>
      <c r="AK74" s="1" t="str">
        <f t="shared" si="4"/>
        <v>大橋正寛</v>
      </c>
      <c r="AL74" s="1" t="str">
        <f t="shared" si="5"/>
        <v>堂園雅也</v>
      </c>
      <c r="AM74" s="1">
        <f t="shared" si="6"/>
        <v>180</v>
      </c>
      <c r="AN74" s="1" t="str">
        <f t="shared" si="11"/>
        <v>HRC</v>
      </c>
      <c r="AO74" s="1">
        <f t="shared" si="20"/>
        <v>3</v>
      </c>
      <c r="AP74" s="1">
        <f t="shared" si="21"/>
        <v>2</v>
      </c>
      <c r="AR74" s="281" t="s">
        <v>107</v>
      </c>
      <c r="AS74" s="275">
        <v>1</v>
      </c>
      <c r="AT74" s="275">
        <v>4</v>
      </c>
      <c r="AU74" s="275">
        <v>3</v>
      </c>
      <c r="AV74" s="282">
        <v>1</v>
      </c>
      <c r="AW74" s="1">
        <v>2</v>
      </c>
      <c r="AX74" s="281">
        <v>24</v>
      </c>
      <c r="AY74" s="275" t="str">
        <f t="shared" si="14"/>
        <v>5M24</v>
      </c>
      <c r="AZ74" s="275">
        <v>1</v>
      </c>
      <c r="BA74" s="275">
        <v>4</v>
      </c>
      <c r="BB74" s="275">
        <v>3</v>
      </c>
      <c r="BC74" s="282">
        <v>1</v>
      </c>
      <c r="BD74" s="283">
        <v>24</v>
      </c>
      <c r="BE74" s="276" t="str">
        <f t="shared" si="15"/>
        <v>6M24</v>
      </c>
      <c r="BF74" s="276">
        <v>2</v>
      </c>
      <c r="BG74" s="276">
        <v>1</v>
      </c>
      <c r="BH74" s="276">
        <v>3</v>
      </c>
      <c r="BI74" s="284">
        <v>2</v>
      </c>
      <c r="BJ74" s="281">
        <v>24</v>
      </c>
      <c r="BK74" s="275" t="str">
        <f t="shared" si="16"/>
        <v>7M24</v>
      </c>
      <c r="BL74" s="275">
        <v>2</v>
      </c>
      <c r="BM74" s="275">
        <v>4</v>
      </c>
      <c r="BN74" s="275">
        <v>3</v>
      </c>
      <c r="BO74" s="291">
        <v>5</v>
      </c>
      <c r="BP74" s="287">
        <v>24</v>
      </c>
      <c r="BQ74" s="288" t="str">
        <f t="shared" si="17"/>
        <v>8M24</v>
      </c>
      <c r="BR74" s="288">
        <v>1</v>
      </c>
      <c r="BS74" s="288">
        <v>8</v>
      </c>
      <c r="BT74" s="288">
        <v>2</v>
      </c>
      <c r="BU74" s="289">
        <v>8</v>
      </c>
    </row>
    <row r="75" spans="31:73">
      <c r="AE75" s="1">
        <f t="shared" si="7"/>
        <v>2</v>
      </c>
      <c r="AF75" s="1">
        <v>25</v>
      </c>
      <c r="AG75" s="1">
        <f t="shared" si="8"/>
        <v>1</v>
      </c>
      <c r="AH75" s="1">
        <f t="shared" si="18"/>
        <v>1</v>
      </c>
      <c r="AI75" s="1" t="str">
        <f t="shared" si="19"/>
        <v>NRC</v>
      </c>
      <c r="AJ75" s="1">
        <f t="shared" si="3"/>
        <v>180</v>
      </c>
      <c r="AK75" s="1" t="str">
        <f t="shared" si="4"/>
        <v>吉向翔平</v>
      </c>
      <c r="AL75" s="1" t="str">
        <f t="shared" si="5"/>
        <v>平井洸志</v>
      </c>
      <c r="AM75" s="1">
        <f t="shared" si="6"/>
        <v>180</v>
      </c>
      <c r="AN75" s="1" t="str">
        <f t="shared" si="11"/>
        <v>HRC</v>
      </c>
      <c r="AO75" s="1">
        <f t="shared" si="20"/>
        <v>3</v>
      </c>
      <c r="AP75" s="1">
        <f t="shared" si="21"/>
        <v>3</v>
      </c>
      <c r="AR75" s="283" t="s">
        <v>108</v>
      </c>
      <c r="AS75" s="276">
        <v>1</v>
      </c>
      <c r="AT75" s="276">
        <v>5</v>
      </c>
      <c r="AU75" s="276">
        <v>3</v>
      </c>
      <c r="AV75" s="284">
        <v>2</v>
      </c>
      <c r="AW75" s="1">
        <v>2</v>
      </c>
      <c r="AX75" s="283">
        <v>25</v>
      </c>
      <c r="AY75" s="276" t="str">
        <f t="shared" si="14"/>
        <v>5M25</v>
      </c>
      <c r="AZ75" s="276">
        <v>1</v>
      </c>
      <c r="BA75" s="276">
        <v>5</v>
      </c>
      <c r="BB75" s="276">
        <v>3</v>
      </c>
      <c r="BC75" s="284">
        <v>2</v>
      </c>
      <c r="BD75" s="285">
        <v>25</v>
      </c>
      <c r="BE75" s="274" t="str">
        <f t="shared" si="15"/>
        <v>6M25</v>
      </c>
      <c r="BF75" s="274">
        <v>1</v>
      </c>
      <c r="BG75" s="274">
        <v>1</v>
      </c>
      <c r="BH75" s="274">
        <v>3</v>
      </c>
      <c r="BI75" s="286">
        <v>3</v>
      </c>
      <c r="BJ75" s="281">
        <v>25</v>
      </c>
      <c r="BK75" s="275" t="str">
        <f t="shared" si="16"/>
        <v>7M25</v>
      </c>
      <c r="BL75" s="275">
        <v>2</v>
      </c>
      <c r="BM75" s="275">
        <v>5</v>
      </c>
      <c r="BN75" s="275">
        <v>3</v>
      </c>
      <c r="BO75" s="282">
        <v>6</v>
      </c>
      <c r="BP75" s="278">
        <v>25</v>
      </c>
      <c r="BQ75" s="279" t="str">
        <f t="shared" si="17"/>
        <v>8M25</v>
      </c>
      <c r="BR75" s="279">
        <v>2</v>
      </c>
      <c r="BS75" s="279">
        <v>2</v>
      </c>
      <c r="BT75" s="279">
        <v>3</v>
      </c>
      <c r="BU75" s="280">
        <v>3</v>
      </c>
    </row>
    <row r="76" spans="31:73">
      <c r="AE76" s="1">
        <f t="shared" si="7"/>
        <v>2</v>
      </c>
      <c r="AF76" s="1">
        <v>26</v>
      </c>
      <c r="AG76" s="1">
        <f t="shared" si="8"/>
        <v>1</v>
      </c>
      <c r="AH76" s="1">
        <f t="shared" si="18"/>
        <v>2</v>
      </c>
      <c r="AI76" s="1" t="str">
        <f t="shared" si="19"/>
        <v>NRC</v>
      </c>
      <c r="AJ76" s="1">
        <f t="shared" si="3"/>
        <v>180</v>
      </c>
      <c r="AK76" s="1" t="str">
        <f t="shared" si="4"/>
        <v>岩本剛</v>
      </c>
      <c r="AL76" s="1" t="str">
        <f t="shared" si="5"/>
        <v>宮井健太郎</v>
      </c>
      <c r="AM76" s="1">
        <f t="shared" si="6"/>
        <v>180</v>
      </c>
      <c r="AN76" s="1" t="str">
        <f t="shared" si="11"/>
        <v>HRC</v>
      </c>
      <c r="AO76" s="1">
        <f t="shared" si="20"/>
        <v>3</v>
      </c>
      <c r="AP76" s="1">
        <f t="shared" si="21"/>
        <v>4</v>
      </c>
      <c r="AR76" s="285" t="s">
        <v>109</v>
      </c>
      <c r="AS76" s="274">
        <v>1</v>
      </c>
      <c r="AT76" s="274">
        <v>1</v>
      </c>
      <c r="AU76" s="274">
        <v>2</v>
      </c>
      <c r="AV76" s="286">
        <v>2</v>
      </c>
      <c r="AW76" s="1">
        <v>2</v>
      </c>
      <c r="AX76" s="285">
        <v>26</v>
      </c>
      <c r="AY76" s="274" t="str">
        <f t="shared" si="14"/>
        <v>5M26</v>
      </c>
      <c r="AZ76" s="274">
        <v>1</v>
      </c>
      <c r="BA76" s="274">
        <v>1</v>
      </c>
      <c r="BB76" s="274">
        <v>2</v>
      </c>
      <c r="BC76" s="286">
        <v>2</v>
      </c>
      <c r="BD76" s="281">
        <v>26</v>
      </c>
      <c r="BE76" s="275" t="str">
        <f t="shared" si="15"/>
        <v>6M26</v>
      </c>
      <c r="BF76" s="275">
        <v>1</v>
      </c>
      <c r="BG76" s="275">
        <v>2</v>
      </c>
      <c r="BH76" s="275">
        <v>3</v>
      </c>
      <c r="BI76" s="282">
        <v>4</v>
      </c>
      <c r="BJ76" s="281">
        <v>26</v>
      </c>
      <c r="BK76" s="275" t="str">
        <f t="shared" si="16"/>
        <v>7M26</v>
      </c>
      <c r="BL76" s="275">
        <v>2</v>
      </c>
      <c r="BM76" s="275">
        <v>6</v>
      </c>
      <c r="BN76" s="275">
        <v>3</v>
      </c>
      <c r="BO76" s="282">
        <v>7</v>
      </c>
      <c r="BP76" s="281">
        <v>26</v>
      </c>
      <c r="BQ76" s="275" t="str">
        <f t="shared" si="17"/>
        <v>8M26</v>
      </c>
      <c r="BR76" s="275">
        <v>2</v>
      </c>
      <c r="BS76" s="275">
        <v>3</v>
      </c>
      <c r="BT76" s="275">
        <v>3</v>
      </c>
      <c r="BU76" s="282">
        <v>4</v>
      </c>
    </row>
    <row r="77" spans="31:73">
      <c r="AE77" s="1">
        <f t="shared" si="7"/>
        <v>2</v>
      </c>
      <c r="AF77" s="1">
        <v>27</v>
      </c>
      <c r="AG77" s="1">
        <f t="shared" si="8"/>
        <v>1</v>
      </c>
      <c r="AH77" s="1">
        <f t="shared" si="18"/>
        <v>3</v>
      </c>
      <c r="AI77" s="1" t="str">
        <f t="shared" si="19"/>
        <v>NRC</v>
      </c>
      <c r="AJ77" s="1">
        <f t="shared" si="3"/>
        <v>180</v>
      </c>
      <c r="AK77" s="1" t="str">
        <f t="shared" si="4"/>
        <v>長谷川進</v>
      </c>
      <c r="AL77" s="1" t="str">
        <f t="shared" si="5"/>
        <v>金井健太郎</v>
      </c>
      <c r="AM77" s="1">
        <f t="shared" si="6"/>
        <v>180</v>
      </c>
      <c r="AN77" s="1" t="str">
        <f t="shared" si="11"/>
        <v>HRC</v>
      </c>
      <c r="AO77" s="1">
        <f t="shared" si="20"/>
        <v>3</v>
      </c>
      <c r="AP77" s="1">
        <f t="shared" si="21"/>
        <v>5</v>
      </c>
      <c r="AR77" s="281" t="s">
        <v>110</v>
      </c>
      <c r="AS77" s="275">
        <v>1</v>
      </c>
      <c r="AT77" s="275">
        <v>2</v>
      </c>
      <c r="AU77" s="275">
        <v>2</v>
      </c>
      <c r="AV77" s="282">
        <v>3</v>
      </c>
      <c r="AW77" s="1">
        <v>2</v>
      </c>
      <c r="AX77" s="281">
        <v>27</v>
      </c>
      <c r="AY77" s="275" t="str">
        <f t="shared" si="14"/>
        <v>5M27</v>
      </c>
      <c r="AZ77" s="275">
        <v>1</v>
      </c>
      <c r="BA77" s="275">
        <v>2</v>
      </c>
      <c r="BB77" s="275">
        <v>2</v>
      </c>
      <c r="BC77" s="282">
        <v>3</v>
      </c>
      <c r="BD77" s="281">
        <v>27</v>
      </c>
      <c r="BE77" s="275" t="str">
        <f t="shared" si="15"/>
        <v>6M27</v>
      </c>
      <c r="BF77" s="275">
        <v>1</v>
      </c>
      <c r="BG77" s="275">
        <v>3</v>
      </c>
      <c r="BH77" s="275">
        <v>3</v>
      </c>
      <c r="BI77" s="282">
        <v>5</v>
      </c>
      <c r="BJ77" s="281">
        <v>27</v>
      </c>
      <c r="BK77" s="275" t="str">
        <f t="shared" si="16"/>
        <v>7M27</v>
      </c>
      <c r="BL77" s="275">
        <v>2</v>
      </c>
      <c r="BM77" s="275">
        <v>7</v>
      </c>
      <c r="BN77" s="275">
        <v>3</v>
      </c>
      <c r="BO77" s="282">
        <v>1</v>
      </c>
      <c r="BP77" s="281">
        <v>27</v>
      </c>
      <c r="BQ77" s="275" t="str">
        <f t="shared" si="17"/>
        <v>8M27</v>
      </c>
      <c r="BR77" s="275">
        <v>2</v>
      </c>
      <c r="BS77" s="275">
        <v>4</v>
      </c>
      <c r="BT77" s="275">
        <v>3</v>
      </c>
      <c r="BU77" s="282">
        <v>5</v>
      </c>
    </row>
    <row r="78" spans="31:73">
      <c r="AE78" s="1">
        <f t="shared" si="7"/>
        <v>2</v>
      </c>
      <c r="AF78" s="1">
        <v>28</v>
      </c>
      <c r="AG78" s="1">
        <f t="shared" si="8"/>
        <v>1</v>
      </c>
      <c r="AH78" s="1">
        <f t="shared" si="18"/>
        <v>4</v>
      </c>
      <c r="AI78" s="1" t="str">
        <f t="shared" si="19"/>
        <v>NRC</v>
      </c>
      <c r="AJ78" s="1">
        <f t="shared" si="3"/>
        <v>180</v>
      </c>
      <c r="AK78" s="1" t="str">
        <f t="shared" si="4"/>
        <v>井本高史</v>
      </c>
      <c r="AL78" s="1" t="str">
        <f t="shared" si="5"/>
        <v>河地恵里</v>
      </c>
      <c r="AM78" s="1">
        <f t="shared" si="6"/>
        <v>140</v>
      </c>
      <c r="AN78" s="1" t="str">
        <f t="shared" si="11"/>
        <v>HRC</v>
      </c>
      <c r="AO78" s="1">
        <f t="shared" si="20"/>
        <v>3</v>
      </c>
      <c r="AP78" s="1">
        <f t="shared" si="21"/>
        <v>6</v>
      </c>
      <c r="AR78" s="281" t="s">
        <v>111</v>
      </c>
      <c r="AS78" s="275">
        <v>1</v>
      </c>
      <c r="AT78" s="275">
        <v>3</v>
      </c>
      <c r="AU78" s="275">
        <v>2</v>
      </c>
      <c r="AV78" s="282">
        <v>4</v>
      </c>
      <c r="AW78" s="1">
        <v>2</v>
      </c>
      <c r="AX78" s="281">
        <v>28</v>
      </c>
      <c r="AY78" s="275" t="str">
        <f t="shared" si="14"/>
        <v>5M28</v>
      </c>
      <c r="AZ78" s="275">
        <v>1</v>
      </c>
      <c r="BA78" s="275">
        <v>3</v>
      </c>
      <c r="BB78" s="275">
        <v>2</v>
      </c>
      <c r="BC78" s="282">
        <v>4</v>
      </c>
      <c r="BD78" s="281">
        <v>28</v>
      </c>
      <c r="BE78" s="275" t="str">
        <f t="shared" si="15"/>
        <v>6M28</v>
      </c>
      <c r="BF78" s="275">
        <v>1</v>
      </c>
      <c r="BG78" s="275">
        <v>4</v>
      </c>
      <c r="BH78" s="275">
        <v>3</v>
      </c>
      <c r="BI78" s="282">
        <v>6</v>
      </c>
      <c r="BJ78" s="295">
        <v>28</v>
      </c>
      <c r="BK78" s="277" t="str">
        <f t="shared" si="16"/>
        <v>7M28</v>
      </c>
      <c r="BL78" s="277">
        <v>2</v>
      </c>
      <c r="BM78" s="277">
        <v>1</v>
      </c>
      <c r="BN78" s="277">
        <v>3</v>
      </c>
      <c r="BO78" s="296">
        <v>2</v>
      </c>
      <c r="BP78" s="281">
        <v>28</v>
      </c>
      <c r="BQ78" s="275" t="str">
        <f t="shared" si="17"/>
        <v>8M28</v>
      </c>
      <c r="BR78" s="275">
        <v>2</v>
      </c>
      <c r="BS78" s="275">
        <v>5</v>
      </c>
      <c r="BT78" s="275">
        <v>3</v>
      </c>
      <c r="BU78" s="282">
        <v>6</v>
      </c>
    </row>
    <row r="79" spans="31:73">
      <c r="AE79" s="1">
        <f t="shared" si="7"/>
        <v>2</v>
      </c>
      <c r="AF79" s="1">
        <v>29</v>
      </c>
      <c r="AG79" s="1">
        <f t="shared" si="8"/>
        <v>1</v>
      </c>
      <c r="AH79" s="1">
        <f t="shared" si="18"/>
        <v>5</v>
      </c>
      <c r="AI79" s="1" t="str">
        <f t="shared" si="19"/>
        <v>NRC</v>
      </c>
      <c r="AJ79" s="1">
        <f t="shared" si="3"/>
        <v>180</v>
      </c>
      <c r="AK79" s="1" t="str">
        <f t="shared" si="4"/>
        <v>金澤茂昌</v>
      </c>
      <c r="AL79" s="1" t="str">
        <f t="shared" si="5"/>
        <v>宮本一</v>
      </c>
      <c r="AM79" s="1">
        <f t="shared" si="6"/>
        <v>180</v>
      </c>
      <c r="AN79" s="1" t="str">
        <f t="shared" si="11"/>
        <v>HRC</v>
      </c>
      <c r="AO79" s="1">
        <f t="shared" si="20"/>
        <v>3</v>
      </c>
      <c r="AP79" s="1">
        <f t="shared" si="21"/>
        <v>1</v>
      </c>
      <c r="AR79" s="281" t="s">
        <v>112</v>
      </c>
      <c r="AS79" s="275">
        <v>1</v>
      </c>
      <c r="AT79" s="275">
        <v>4</v>
      </c>
      <c r="AU79" s="275">
        <v>2</v>
      </c>
      <c r="AV79" s="282">
        <v>5</v>
      </c>
      <c r="AW79" s="1">
        <v>2</v>
      </c>
      <c r="AX79" s="281">
        <v>29</v>
      </c>
      <c r="AY79" s="275" t="str">
        <f t="shared" si="14"/>
        <v>5M29</v>
      </c>
      <c r="AZ79" s="275">
        <v>1</v>
      </c>
      <c r="BA79" s="275">
        <v>4</v>
      </c>
      <c r="BB79" s="275">
        <v>2</v>
      </c>
      <c r="BC79" s="282">
        <v>5</v>
      </c>
      <c r="BD79" s="281">
        <v>29</v>
      </c>
      <c r="BE79" s="275" t="str">
        <f t="shared" si="15"/>
        <v>6M29</v>
      </c>
      <c r="BF79" s="275">
        <v>1</v>
      </c>
      <c r="BG79" s="275">
        <v>5</v>
      </c>
      <c r="BH79" s="275">
        <v>3</v>
      </c>
      <c r="BI79" s="282">
        <v>1</v>
      </c>
      <c r="BJ79" s="285">
        <v>29</v>
      </c>
      <c r="BK79" s="274" t="str">
        <f t="shared" si="16"/>
        <v>7M29</v>
      </c>
      <c r="BL79" s="274">
        <v>1</v>
      </c>
      <c r="BM79" s="274">
        <v>1</v>
      </c>
      <c r="BN79" s="274">
        <v>3</v>
      </c>
      <c r="BO79" s="286">
        <v>3</v>
      </c>
      <c r="BP79" s="281">
        <v>29</v>
      </c>
      <c r="BQ79" s="275" t="str">
        <f t="shared" si="17"/>
        <v>8M29</v>
      </c>
      <c r="BR79" s="275">
        <v>2</v>
      </c>
      <c r="BS79" s="275">
        <v>6</v>
      </c>
      <c r="BT79" s="275">
        <v>3</v>
      </c>
      <c r="BU79" s="282">
        <v>7</v>
      </c>
    </row>
    <row r="80" spans="31:73" ht="16.8" thickBot="1">
      <c r="AE80" s="1">
        <f t="shared" si="7"/>
        <v>2</v>
      </c>
      <c r="AF80" s="1">
        <v>30</v>
      </c>
      <c r="AG80" s="1">
        <f t="shared" si="8"/>
        <v>1</v>
      </c>
      <c r="AH80" s="1">
        <f t="shared" si="18"/>
        <v>6</v>
      </c>
      <c r="AI80" s="1" t="str">
        <f t="shared" si="19"/>
        <v>NRC</v>
      </c>
      <c r="AJ80" s="1">
        <f t="shared" si="3"/>
        <v>140</v>
      </c>
      <c r="AK80" s="1" t="str">
        <f t="shared" si="4"/>
        <v>宮野早織</v>
      </c>
      <c r="AL80" s="1" t="str">
        <f t="shared" si="5"/>
        <v>堂園雅也</v>
      </c>
      <c r="AM80" s="1">
        <f t="shared" si="6"/>
        <v>180</v>
      </c>
      <c r="AN80" s="1" t="str">
        <f t="shared" si="11"/>
        <v>HRC</v>
      </c>
      <c r="AO80" s="1">
        <f t="shared" si="20"/>
        <v>3</v>
      </c>
      <c r="AP80" s="1">
        <f t="shared" si="21"/>
        <v>2</v>
      </c>
      <c r="AR80" s="287" t="s">
        <v>113</v>
      </c>
      <c r="AS80" s="288">
        <v>1</v>
      </c>
      <c r="AT80" s="288">
        <v>5</v>
      </c>
      <c r="AU80" s="288">
        <v>2</v>
      </c>
      <c r="AV80" s="289">
        <v>1</v>
      </c>
      <c r="AW80" s="1">
        <v>2</v>
      </c>
      <c r="AX80" s="287">
        <v>30</v>
      </c>
      <c r="AY80" s="288" t="str">
        <f t="shared" si="14"/>
        <v>5M30</v>
      </c>
      <c r="AZ80" s="288">
        <v>1</v>
      </c>
      <c r="BA80" s="288">
        <v>5</v>
      </c>
      <c r="BB80" s="288">
        <v>2</v>
      </c>
      <c r="BC80" s="289">
        <v>1</v>
      </c>
      <c r="BD80" s="283">
        <v>30</v>
      </c>
      <c r="BE80" s="276" t="str">
        <f t="shared" si="15"/>
        <v>6M30</v>
      </c>
      <c r="BF80" s="276">
        <v>1</v>
      </c>
      <c r="BG80" s="276">
        <v>6</v>
      </c>
      <c r="BH80" s="276">
        <v>3</v>
      </c>
      <c r="BI80" s="284">
        <v>2</v>
      </c>
      <c r="BJ80" s="281">
        <v>30</v>
      </c>
      <c r="BK80" s="275" t="str">
        <f t="shared" si="16"/>
        <v>7M30</v>
      </c>
      <c r="BL80" s="275">
        <v>1</v>
      </c>
      <c r="BM80" s="275">
        <v>2</v>
      </c>
      <c r="BN80" s="275">
        <v>3</v>
      </c>
      <c r="BO80" s="282">
        <v>4</v>
      </c>
      <c r="BP80" s="281">
        <v>30</v>
      </c>
      <c r="BQ80" s="275" t="str">
        <f t="shared" si="17"/>
        <v>8M30</v>
      </c>
      <c r="BR80" s="275">
        <v>2</v>
      </c>
      <c r="BS80" s="275">
        <v>7</v>
      </c>
      <c r="BT80" s="275">
        <v>3</v>
      </c>
      <c r="BU80" s="282">
        <v>8</v>
      </c>
    </row>
    <row r="81" spans="31:73">
      <c r="AE81" s="1">
        <f t="shared" si="7"/>
        <v>2</v>
      </c>
      <c r="AF81" s="1">
        <v>31</v>
      </c>
      <c r="AG81" s="1">
        <f t="shared" si="8"/>
        <v>1</v>
      </c>
      <c r="AH81" s="1">
        <f t="shared" si="18"/>
        <v>1</v>
      </c>
      <c r="AI81" s="1" t="str">
        <f t="shared" si="19"/>
        <v>NRC</v>
      </c>
      <c r="AJ81" s="1">
        <f t="shared" si="3"/>
        <v>180</v>
      </c>
      <c r="AK81" s="1" t="str">
        <f t="shared" si="4"/>
        <v>吉向翔平</v>
      </c>
      <c r="AL81" s="1" t="str">
        <f t="shared" si="5"/>
        <v>長田智紀</v>
      </c>
      <c r="AM81" s="1">
        <f t="shared" si="6"/>
        <v>180</v>
      </c>
      <c r="AN81" s="1" t="str">
        <f t="shared" si="11"/>
        <v>SBC</v>
      </c>
      <c r="AO81" s="1">
        <f t="shared" si="20"/>
        <v>2</v>
      </c>
      <c r="AP81" s="1">
        <f t="shared" si="21"/>
        <v>2</v>
      </c>
      <c r="AR81" s="278" t="s">
        <v>114</v>
      </c>
      <c r="AS81" s="279">
        <v>2</v>
      </c>
      <c r="AT81" s="279">
        <v>3</v>
      </c>
      <c r="AU81" s="279">
        <v>3</v>
      </c>
      <c r="AV81" s="280">
        <v>5</v>
      </c>
      <c r="AW81" s="1">
        <v>3</v>
      </c>
      <c r="AX81" s="278">
        <v>31</v>
      </c>
      <c r="AY81" s="279" t="str">
        <f t="shared" si="14"/>
        <v>5M31</v>
      </c>
      <c r="AZ81" s="279">
        <v>2</v>
      </c>
      <c r="BA81" s="279">
        <v>3</v>
      </c>
      <c r="BB81" s="279">
        <v>3</v>
      </c>
      <c r="BC81" s="280">
        <v>5</v>
      </c>
      <c r="BD81" s="285">
        <v>31</v>
      </c>
      <c r="BE81" s="274" t="str">
        <f t="shared" si="15"/>
        <v>6M31</v>
      </c>
      <c r="BF81" s="274">
        <v>1</v>
      </c>
      <c r="BG81" s="274">
        <v>1</v>
      </c>
      <c r="BH81" s="274">
        <v>2</v>
      </c>
      <c r="BI81" s="286">
        <v>2</v>
      </c>
      <c r="BJ81" s="281">
        <v>31</v>
      </c>
      <c r="BK81" s="275" t="str">
        <f t="shared" si="16"/>
        <v>7M31</v>
      </c>
      <c r="BL81" s="275">
        <v>1</v>
      </c>
      <c r="BM81" s="275">
        <v>3</v>
      </c>
      <c r="BN81" s="275">
        <v>3</v>
      </c>
      <c r="BO81" s="282">
        <v>5</v>
      </c>
      <c r="BP81" s="281">
        <v>31</v>
      </c>
      <c r="BQ81" s="275" t="str">
        <f t="shared" si="17"/>
        <v>8M31</v>
      </c>
      <c r="BR81" s="275">
        <v>2</v>
      </c>
      <c r="BS81" s="275">
        <v>8</v>
      </c>
      <c r="BT81" s="275">
        <v>3</v>
      </c>
      <c r="BU81" s="282">
        <v>1</v>
      </c>
    </row>
    <row r="82" spans="31:73">
      <c r="AE82" s="1">
        <f t="shared" si="7"/>
        <v>2</v>
      </c>
      <c r="AF82" s="1">
        <v>32</v>
      </c>
      <c r="AG82" s="1">
        <f t="shared" si="8"/>
        <v>1</v>
      </c>
      <c r="AH82" s="1">
        <f t="shared" si="18"/>
        <v>2</v>
      </c>
      <c r="AI82" s="1" t="str">
        <f t="shared" si="19"/>
        <v>NRC</v>
      </c>
      <c r="AJ82" s="1">
        <f t="shared" si="3"/>
        <v>180</v>
      </c>
      <c r="AK82" s="1" t="str">
        <f t="shared" si="4"/>
        <v>岩本剛</v>
      </c>
      <c r="AL82" s="1" t="str">
        <f t="shared" si="5"/>
        <v>西峰久祐</v>
      </c>
      <c r="AM82" s="1">
        <f t="shared" si="6"/>
        <v>180</v>
      </c>
      <c r="AN82" s="1" t="str">
        <f t="shared" si="11"/>
        <v>SBC</v>
      </c>
      <c r="AO82" s="1">
        <f t="shared" si="20"/>
        <v>2</v>
      </c>
      <c r="AP82" s="1">
        <f t="shared" si="21"/>
        <v>3</v>
      </c>
      <c r="AR82" s="281" t="s">
        <v>115</v>
      </c>
      <c r="AS82" s="275">
        <v>2</v>
      </c>
      <c r="AT82" s="275">
        <v>4</v>
      </c>
      <c r="AU82" s="275">
        <v>3</v>
      </c>
      <c r="AV82" s="282">
        <v>1</v>
      </c>
      <c r="AW82" s="1">
        <v>3</v>
      </c>
      <c r="AX82" s="281">
        <v>32</v>
      </c>
      <c r="AY82" s="275" t="str">
        <f t="shared" si="14"/>
        <v>5M32</v>
      </c>
      <c r="AZ82" s="275">
        <v>2</v>
      </c>
      <c r="BA82" s="275">
        <v>4</v>
      </c>
      <c r="BB82" s="275">
        <v>3</v>
      </c>
      <c r="BC82" s="282">
        <v>1</v>
      </c>
      <c r="BD82" s="281">
        <v>32</v>
      </c>
      <c r="BE82" s="275" t="str">
        <f t="shared" si="15"/>
        <v>6M32</v>
      </c>
      <c r="BF82" s="275">
        <v>1</v>
      </c>
      <c r="BG82" s="275">
        <v>2</v>
      </c>
      <c r="BH82" s="275">
        <v>2</v>
      </c>
      <c r="BI82" s="282">
        <v>3</v>
      </c>
      <c r="BJ82" s="281">
        <v>32</v>
      </c>
      <c r="BK82" s="275" t="str">
        <f t="shared" si="16"/>
        <v>7M32</v>
      </c>
      <c r="BL82" s="275">
        <v>1</v>
      </c>
      <c r="BM82" s="275">
        <v>4</v>
      </c>
      <c r="BN82" s="275">
        <v>3</v>
      </c>
      <c r="BO82" s="282">
        <v>6</v>
      </c>
      <c r="BP82" s="283">
        <v>32</v>
      </c>
      <c r="BQ82" s="276" t="str">
        <f t="shared" si="17"/>
        <v>8M32</v>
      </c>
      <c r="BR82" s="276">
        <v>2</v>
      </c>
      <c r="BS82" s="276">
        <v>1</v>
      </c>
      <c r="BT82" s="276">
        <v>3</v>
      </c>
      <c r="BU82" s="284">
        <v>2</v>
      </c>
    </row>
    <row r="83" spans="31:73">
      <c r="AE83" s="1">
        <f t="shared" si="7"/>
        <v>2</v>
      </c>
      <c r="AF83" s="1">
        <v>33</v>
      </c>
      <c r="AG83" s="1">
        <f t="shared" si="8"/>
        <v>1</v>
      </c>
      <c r="AH83" s="1">
        <f t="shared" si="18"/>
        <v>3</v>
      </c>
      <c r="AI83" s="1" t="str">
        <f t="shared" si="19"/>
        <v>NRC</v>
      </c>
      <c r="AJ83" s="1">
        <f t="shared" ref="AJ83:AJ114" si="22">VLOOKUP(VALUE(AG83&amp;AH83),$AI$5:$AL$28,4,FALSE)</f>
        <v>180</v>
      </c>
      <c r="AK83" s="1" t="str">
        <f t="shared" ref="AK83:AK114" si="23">VLOOKUP(VALUE(AG83&amp;AH83),$AI$5:$AL$28,3,FALSE)</f>
        <v>長谷川進</v>
      </c>
      <c r="AL83" s="1" t="str">
        <f t="shared" ref="AL83:AL114" si="24">VLOOKUP(VALUE(AO83&amp;AP83),$AI$5:$AL$28,3,FALSE)</f>
        <v>大橋義治</v>
      </c>
      <c r="AM83" s="1">
        <f t="shared" ref="AM83:AM114" si="25">VLOOKUP(VALUE(AO83&amp;AP83),$AI$5:$AL$28,4,FALSE)</f>
        <v>180</v>
      </c>
      <c r="AN83" s="1" t="str">
        <f t="shared" si="11"/>
        <v>SBC</v>
      </c>
      <c r="AO83" s="1">
        <f t="shared" si="20"/>
        <v>2</v>
      </c>
      <c r="AP83" s="1">
        <f t="shared" si="21"/>
        <v>4</v>
      </c>
      <c r="AR83" s="281" t="s">
        <v>116</v>
      </c>
      <c r="AS83" s="275">
        <v>2</v>
      </c>
      <c r="AT83" s="275">
        <v>5</v>
      </c>
      <c r="AU83" s="275">
        <v>3</v>
      </c>
      <c r="AV83" s="282">
        <v>2</v>
      </c>
      <c r="AW83" s="1">
        <v>3</v>
      </c>
      <c r="AX83" s="281">
        <v>33</v>
      </c>
      <c r="AY83" s="275" t="str">
        <f t="shared" si="14"/>
        <v>5M33</v>
      </c>
      <c r="AZ83" s="275">
        <v>2</v>
      </c>
      <c r="BA83" s="275">
        <v>5</v>
      </c>
      <c r="BB83" s="275">
        <v>3</v>
      </c>
      <c r="BC83" s="282">
        <v>2</v>
      </c>
      <c r="BD83" s="281">
        <v>33</v>
      </c>
      <c r="BE83" s="275" t="str">
        <f t="shared" si="15"/>
        <v>6M33</v>
      </c>
      <c r="BF83" s="275">
        <v>1</v>
      </c>
      <c r="BG83" s="275">
        <v>3</v>
      </c>
      <c r="BH83" s="275">
        <v>2</v>
      </c>
      <c r="BI83" s="282">
        <v>4</v>
      </c>
      <c r="BJ83" s="281">
        <v>33</v>
      </c>
      <c r="BK83" s="275" t="str">
        <f t="shared" si="16"/>
        <v>7M33</v>
      </c>
      <c r="BL83" s="275">
        <v>1</v>
      </c>
      <c r="BM83" s="275">
        <v>5</v>
      </c>
      <c r="BN83" s="275">
        <v>3</v>
      </c>
      <c r="BO83" s="282">
        <v>7</v>
      </c>
      <c r="BP83" s="285">
        <v>33</v>
      </c>
      <c r="BQ83" s="274" t="str">
        <f t="shared" si="17"/>
        <v>8M33</v>
      </c>
      <c r="BR83" s="274">
        <v>1</v>
      </c>
      <c r="BS83" s="274">
        <v>1</v>
      </c>
      <c r="BT83" s="274">
        <v>3</v>
      </c>
      <c r="BU83" s="286">
        <v>3</v>
      </c>
    </row>
    <row r="84" spans="31:73">
      <c r="AE84" s="1">
        <f t="shared" si="7"/>
        <v>2</v>
      </c>
      <c r="AF84" s="1">
        <v>34</v>
      </c>
      <c r="AG84" s="1">
        <f t="shared" si="8"/>
        <v>1</v>
      </c>
      <c r="AH84" s="1">
        <f t="shared" si="18"/>
        <v>4</v>
      </c>
      <c r="AI84" s="1" t="str">
        <f t="shared" si="19"/>
        <v>NRC</v>
      </c>
      <c r="AJ84" s="1">
        <f t="shared" si="22"/>
        <v>180</v>
      </c>
      <c r="AK84" s="1" t="str">
        <f t="shared" si="23"/>
        <v>井本高史</v>
      </c>
      <c r="AL84" s="1" t="str">
        <f t="shared" si="24"/>
        <v>山中康寛</v>
      </c>
      <c r="AM84" s="1">
        <f t="shared" si="25"/>
        <v>180</v>
      </c>
      <c r="AN84" s="1" t="str">
        <f t="shared" si="11"/>
        <v>SBC</v>
      </c>
      <c r="AO84" s="1">
        <f t="shared" si="20"/>
        <v>2</v>
      </c>
      <c r="AP84" s="1">
        <f t="shared" si="21"/>
        <v>5</v>
      </c>
      <c r="AR84" s="281" t="s">
        <v>117</v>
      </c>
      <c r="AS84" s="275">
        <v>2</v>
      </c>
      <c r="AT84" s="275">
        <v>1</v>
      </c>
      <c r="AU84" s="275">
        <v>3</v>
      </c>
      <c r="AV84" s="282">
        <v>3</v>
      </c>
      <c r="AW84" s="1">
        <v>3</v>
      </c>
      <c r="AX84" s="281">
        <v>34</v>
      </c>
      <c r="AY84" s="275" t="str">
        <f t="shared" si="14"/>
        <v>5M34</v>
      </c>
      <c r="AZ84" s="275">
        <v>2</v>
      </c>
      <c r="BA84" s="275">
        <v>1</v>
      </c>
      <c r="BB84" s="275">
        <v>3</v>
      </c>
      <c r="BC84" s="282">
        <v>3</v>
      </c>
      <c r="BD84" s="281">
        <v>34</v>
      </c>
      <c r="BE84" s="275" t="str">
        <f t="shared" si="15"/>
        <v>6M34</v>
      </c>
      <c r="BF84" s="275">
        <v>1</v>
      </c>
      <c r="BG84" s="275">
        <v>4</v>
      </c>
      <c r="BH84" s="275">
        <v>2</v>
      </c>
      <c r="BI84" s="282">
        <v>5</v>
      </c>
      <c r="BJ84" s="281">
        <v>34</v>
      </c>
      <c r="BK84" s="275" t="str">
        <f t="shared" si="16"/>
        <v>7M34</v>
      </c>
      <c r="BL84" s="275">
        <v>1</v>
      </c>
      <c r="BM84" s="275">
        <v>6</v>
      </c>
      <c r="BN84" s="275">
        <v>3</v>
      </c>
      <c r="BO84" s="282">
        <v>1</v>
      </c>
      <c r="BP84" s="281">
        <v>34</v>
      </c>
      <c r="BQ84" s="275" t="str">
        <f t="shared" si="17"/>
        <v>8M34</v>
      </c>
      <c r="BR84" s="275">
        <v>1</v>
      </c>
      <c r="BS84" s="275">
        <v>2</v>
      </c>
      <c r="BT84" s="275">
        <v>3</v>
      </c>
      <c r="BU84" s="282">
        <v>4</v>
      </c>
    </row>
    <row r="85" spans="31:73">
      <c r="AE85" s="1">
        <f t="shared" si="7"/>
        <v>2</v>
      </c>
      <c r="AF85" s="1">
        <v>35</v>
      </c>
      <c r="AG85" s="1">
        <f t="shared" si="8"/>
        <v>1</v>
      </c>
      <c r="AH85" s="1">
        <f t="shared" si="18"/>
        <v>5</v>
      </c>
      <c r="AI85" s="1" t="str">
        <f t="shared" si="19"/>
        <v>NRC</v>
      </c>
      <c r="AJ85" s="1">
        <f t="shared" si="22"/>
        <v>180</v>
      </c>
      <c r="AK85" s="1" t="str">
        <f t="shared" si="23"/>
        <v>金澤茂昌</v>
      </c>
      <c r="AL85" s="1" t="str">
        <f t="shared" si="24"/>
        <v>大橋洋子</v>
      </c>
      <c r="AM85" s="1">
        <f t="shared" si="25"/>
        <v>140</v>
      </c>
      <c r="AN85" s="1" t="str">
        <f t="shared" si="11"/>
        <v>SBC</v>
      </c>
      <c r="AO85" s="1">
        <f t="shared" si="20"/>
        <v>2</v>
      </c>
      <c r="AP85" s="1">
        <f t="shared" si="21"/>
        <v>6</v>
      </c>
      <c r="AR85" s="283" t="s">
        <v>118</v>
      </c>
      <c r="AS85" s="276">
        <v>2</v>
      </c>
      <c r="AT85" s="276">
        <v>2</v>
      </c>
      <c r="AU85" s="276">
        <v>3</v>
      </c>
      <c r="AV85" s="284">
        <v>4</v>
      </c>
      <c r="AW85" s="1">
        <v>3</v>
      </c>
      <c r="AX85" s="283">
        <v>35</v>
      </c>
      <c r="AY85" s="276" t="str">
        <f t="shared" si="14"/>
        <v>5M35</v>
      </c>
      <c r="AZ85" s="276">
        <v>2</v>
      </c>
      <c r="BA85" s="276">
        <v>2</v>
      </c>
      <c r="BB85" s="276">
        <v>3</v>
      </c>
      <c r="BC85" s="284">
        <v>4</v>
      </c>
      <c r="BD85" s="281">
        <v>35</v>
      </c>
      <c r="BE85" s="275" t="str">
        <f t="shared" si="15"/>
        <v>6M35</v>
      </c>
      <c r="BF85" s="275">
        <v>1</v>
      </c>
      <c r="BG85" s="275">
        <v>5</v>
      </c>
      <c r="BH85" s="275">
        <v>2</v>
      </c>
      <c r="BI85" s="282">
        <v>6</v>
      </c>
      <c r="BJ85" s="283">
        <v>35</v>
      </c>
      <c r="BK85" s="276" t="str">
        <f t="shared" si="16"/>
        <v>7M35</v>
      </c>
      <c r="BL85" s="276">
        <v>1</v>
      </c>
      <c r="BM85" s="276">
        <v>7</v>
      </c>
      <c r="BN85" s="276">
        <v>3</v>
      </c>
      <c r="BO85" s="284">
        <v>2</v>
      </c>
      <c r="BP85" s="281">
        <v>35</v>
      </c>
      <c r="BQ85" s="275" t="str">
        <f t="shared" si="17"/>
        <v>8M35</v>
      </c>
      <c r="BR85" s="275">
        <v>1</v>
      </c>
      <c r="BS85" s="275">
        <v>3</v>
      </c>
      <c r="BT85" s="275">
        <v>3</v>
      </c>
      <c r="BU85" s="282">
        <v>5</v>
      </c>
    </row>
    <row r="86" spans="31:73" ht="16.8" thickBot="1">
      <c r="AE86" s="1">
        <f t="shared" si="7"/>
        <v>2</v>
      </c>
      <c r="AF86" s="1">
        <v>36</v>
      </c>
      <c r="AG86" s="1">
        <f t="shared" si="8"/>
        <v>1</v>
      </c>
      <c r="AH86" s="1">
        <f t="shared" si="18"/>
        <v>6</v>
      </c>
      <c r="AI86" s="1" t="str">
        <f t="shared" si="19"/>
        <v>NRC</v>
      </c>
      <c r="AJ86" s="1">
        <f t="shared" si="22"/>
        <v>140</v>
      </c>
      <c r="AK86" s="1" t="str">
        <f t="shared" si="23"/>
        <v>宮野早織</v>
      </c>
      <c r="AL86" s="1" t="str">
        <f t="shared" si="24"/>
        <v>大橋正寛</v>
      </c>
      <c r="AM86" s="1">
        <f t="shared" si="25"/>
        <v>180</v>
      </c>
      <c r="AN86" s="1" t="str">
        <f t="shared" si="11"/>
        <v>SBC</v>
      </c>
      <c r="AO86" s="1">
        <f t="shared" si="20"/>
        <v>2</v>
      </c>
      <c r="AP86" s="1">
        <f t="shared" si="21"/>
        <v>1</v>
      </c>
      <c r="AR86" s="285" t="s">
        <v>119</v>
      </c>
      <c r="AS86" s="274">
        <v>1</v>
      </c>
      <c r="AT86" s="274">
        <v>1</v>
      </c>
      <c r="AU86" s="274">
        <v>3</v>
      </c>
      <c r="AV86" s="286">
        <v>5</v>
      </c>
      <c r="AW86" s="1">
        <v>3</v>
      </c>
      <c r="AX86" s="285">
        <v>36</v>
      </c>
      <c r="AY86" s="274" t="str">
        <f t="shared" si="14"/>
        <v>5M36</v>
      </c>
      <c r="AZ86" s="274">
        <v>1</v>
      </c>
      <c r="BA86" s="274">
        <v>1</v>
      </c>
      <c r="BB86" s="274">
        <v>3</v>
      </c>
      <c r="BC86" s="286">
        <v>5</v>
      </c>
      <c r="BD86" s="287">
        <v>36</v>
      </c>
      <c r="BE86" s="288" t="str">
        <f t="shared" si="15"/>
        <v>6M36</v>
      </c>
      <c r="BF86" s="288">
        <v>1</v>
      </c>
      <c r="BG86" s="288">
        <v>6</v>
      </c>
      <c r="BH86" s="288">
        <v>2</v>
      </c>
      <c r="BI86" s="289">
        <v>1</v>
      </c>
      <c r="BJ86" s="285">
        <v>36</v>
      </c>
      <c r="BK86" s="274" t="str">
        <f t="shared" si="16"/>
        <v>7M36</v>
      </c>
      <c r="BL86" s="274">
        <v>1</v>
      </c>
      <c r="BM86" s="274">
        <v>1</v>
      </c>
      <c r="BN86" s="274">
        <v>2</v>
      </c>
      <c r="BO86" s="286">
        <v>2</v>
      </c>
      <c r="BP86" s="281">
        <v>36</v>
      </c>
      <c r="BQ86" s="275" t="str">
        <f t="shared" si="17"/>
        <v>8M36</v>
      </c>
      <c r="BR86" s="275">
        <v>1</v>
      </c>
      <c r="BS86" s="275">
        <v>4</v>
      </c>
      <c r="BT86" s="275">
        <v>3</v>
      </c>
      <c r="BU86" s="282">
        <v>6</v>
      </c>
    </row>
    <row r="87" spans="31:73">
      <c r="AE87" s="1">
        <f t="shared" si="7"/>
        <v>3</v>
      </c>
      <c r="AF87" s="1">
        <v>37</v>
      </c>
      <c r="AG87" s="1">
        <f t="shared" si="8"/>
        <v>2</v>
      </c>
      <c r="AH87" s="1">
        <f t="shared" ref="AH87:AH122" si="26">VLOOKUP($AI$49&amp;AF87,$AR$51:$AW$1166,3,FALSE)</f>
        <v>3</v>
      </c>
      <c r="AI87" s="1" t="str">
        <f t="shared" ref="AI87:AI122" si="27">VLOOKUP(AG87,$AH$44:$AI$46,2,FALSE)</f>
        <v>SBC</v>
      </c>
      <c r="AJ87" s="1">
        <f t="shared" si="22"/>
        <v>180</v>
      </c>
      <c r="AK87" s="1" t="str">
        <f t="shared" si="23"/>
        <v>西峰久祐</v>
      </c>
      <c r="AL87" s="1" t="str">
        <f t="shared" si="24"/>
        <v>金井健太郎</v>
      </c>
      <c r="AM87" s="1">
        <f t="shared" si="25"/>
        <v>180</v>
      </c>
      <c r="AN87" s="1" t="str">
        <f t="shared" si="11"/>
        <v>HRC</v>
      </c>
      <c r="AO87" s="1">
        <f t="shared" ref="AO87:AO122" si="28">VLOOKUP($AI$49&amp;AF87,$AR$51:$AW$1166,4,FALSE)</f>
        <v>3</v>
      </c>
      <c r="AP87" s="1">
        <f t="shared" ref="AP87:AP122" si="29">VLOOKUP($AI$49&amp;AF87,$AR$51:$AW$1166,5,FALSE)</f>
        <v>5</v>
      </c>
      <c r="AR87" s="281" t="s">
        <v>120</v>
      </c>
      <c r="AS87" s="275">
        <v>1</v>
      </c>
      <c r="AT87" s="275">
        <v>2</v>
      </c>
      <c r="AU87" s="275">
        <v>3</v>
      </c>
      <c r="AV87" s="282">
        <v>1</v>
      </c>
      <c r="AW87" s="1">
        <v>3</v>
      </c>
      <c r="AX87" s="281">
        <v>37</v>
      </c>
      <c r="AY87" s="275" t="str">
        <f t="shared" si="14"/>
        <v>5M37</v>
      </c>
      <c r="AZ87" s="275">
        <v>1</v>
      </c>
      <c r="BA87" s="275">
        <v>2</v>
      </c>
      <c r="BB87" s="275">
        <v>3</v>
      </c>
      <c r="BC87" s="282">
        <v>1</v>
      </c>
      <c r="BD87" s="278">
        <v>37</v>
      </c>
      <c r="BE87" s="279" t="str">
        <f t="shared" si="15"/>
        <v>6M37</v>
      </c>
      <c r="BF87" s="279">
        <v>2</v>
      </c>
      <c r="BG87" s="279">
        <v>3</v>
      </c>
      <c r="BH87" s="279">
        <v>3</v>
      </c>
      <c r="BI87" s="280">
        <v>5</v>
      </c>
      <c r="BJ87" s="281">
        <v>37</v>
      </c>
      <c r="BK87" s="275" t="str">
        <f t="shared" si="16"/>
        <v>7M37</v>
      </c>
      <c r="BL87" s="275">
        <v>1</v>
      </c>
      <c r="BM87" s="275">
        <v>2</v>
      </c>
      <c r="BN87" s="275">
        <v>2</v>
      </c>
      <c r="BO87" s="282">
        <v>3</v>
      </c>
      <c r="BP87" s="281">
        <v>37</v>
      </c>
      <c r="BQ87" s="275" t="str">
        <f t="shared" si="17"/>
        <v>8M37</v>
      </c>
      <c r="BR87" s="275">
        <v>1</v>
      </c>
      <c r="BS87" s="275">
        <v>5</v>
      </c>
      <c r="BT87" s="275">
        <v>3</v>
      </c>
      <c r="BU87" s="282">
        <v>7</v>
      </c>
    </row>
    <row r="88" spans="31:73">
      <c r="AE88" s="1">
        <f t="shared" si="7"/>
        <v>3</v>
      </c>
      <c r="AF88" s="1">
        <v>38</v>
      </c>
      <c r="AG88" s="1">
        <f t="shared" si="8"/>
        <v>2</v>
      </c>
      <c r="AH88" s="1">
        <f t="shared" si="26"/>
        <v>4</v>
      </c>
      <c r="AI88" s="1" t="str">
        <f t="shared" si="27"/>
        <v>SBC</v>
      </c>
      <c r="AJ88" s="1">
        <f t="shared" si="22"/>
        <v>180</v>
      </c>
      <c r="AK88" s="1" t="str">
        <f t="shared" si="23"/>
        <v>大橋義治</v>
      </c>
      <c r="AL88" s="1" t="str">
        <f t="shared" si="24"/>
        <v>河地恵里</v>
      </c>
      <c r="AM88" s="1">
        <f t="shared" si="25"/>
        <v>140</v>
      </c>
      <c r="AN88" s="1" t="str">
        <f t="shared" si="11"/>
        <v>HRC</v>
      </c>
      <c r="AO88" s="1">
        <f t="shared" si="28"/>
        <v>3</v>
      </c>
      <c r="AP88" s="1">
        <f t="shared" si="29"/>
        <v>6</v>
      </c>
      <c r="AR88" s="281" t="s">
        <v>121</v>
      </c>
      <c r="AS88" s="275">
        <v>1</v>
      </c>
      <c r="AT88" s="275">
        <v>3</v>
      </c>
      <c r="AU88" s="275">
        <v>3</v>
      </c>
      <c r="AV88" s="282">
        <v>2</v>
      </c>
      <c r="AW88" s="1">
        <v>3</v>
      </c>
      <c r="AX88" s="281">
        <v>38</v>
      </c>
      <c r="AY88" s="275" t="str">
        <f t="shared" si="14"/>
        <v>5M38</v>
      </c>
      <c r="AZ88" s="275">
        <v>1</v>
      </c>
      <c r="BA88" s="275">
        <v>3</v>
      </c>
      <c r="BB88" s="275">
        <v>3</v>
      </c>
      <c r="BC88" s="282">
        <v>2</v>
      </c>
      <c r="BD88" s="281">
        <v>38</v>
      </c>
      <c r="BE88" s="275" t="str">
        <f t="shared" si="15"/>
        <v>6M38</v>
      </c>
      <c r="BF88" s="275">
        <v>2</v>
      </c>
      <c r="BG88" s="275">
        <v>4</v>
      </c>
      <c r="BH88" s="275">
        <v>3</v>
      </c>
      <c r="BI88" s="282">
        <v>6</v>
      </c>
      <c r="BJ88" s="281">
        <v>38</v>
      </c>
      <c r="BK88" s="275" t="str">
        <f t="shared" si="16"/>
        <v>7M38</v>
      </c>
      <c r="BL88" s="275">
        <v>1</v>
      </c>
      <c r="BM88" s="275">
        <v>3</v>
      </c>
      <c r="BN88" s="275">
        <v>2</v>
      </c>
      <c r="BO88" s="282">
        <v>4</v>
      </c>
      <c r="BP88" s="281">
        <v>38</v>
      </c>
      <c r="BQ88" s="275" t="str">
        <f t="shared" si="17"/>
        <v>8M38</v>
      </c>
      <c r="BR88" s="275">
        <v>1</v>
      </c>
      <c r="BS88" s="275">
        <v>6</v>
      </c>
      <c r="BT88" s="275">
        <v>3</v>
      </c>
      <c r="BU88" s="282">
        <v>8</v>
      </c>
    </row>
    <row r="89" spans="31:73">
      <c r="AE89" s="1">
        <f t="shared" si="7"/>
        <v>3</v>
      </c>
      <c r="AF89" s="1">
        <v>39</v>
      </c>
      <c r="AG89" s="1">
        <f t="shared" si="8"/>
        <v>2</v>
      </c>
      <c r="AH89" s="1">
        <f t="shared" si="26"/>
        <v>5</v>
      </c>
      <c r="AI89" s="1" t="str">
        <f t="shared" si="27"/>
        <v>SBC</v>
      </c>
      <c r="AJ89" s="1">
        <f t="shared" si="22"/>
        <v>180</v>
      </c>
      <c r="AK89" s="1" t="str">
        <f t="shared" si="23"/>
        <v>山中康寛</v>
      </c>
      <c r="AL89" s="1" t="str">
        <f t="shared" si="24"/>
        <v>宮本一</v>
      </c>
      <c r="AM89" s="1">
        <f t="shared" si="25"/>
        <v>180</v>
      </c>
      <c r="AN89" s="1" t="str">
        <f t="shared" si="11"/>
        <v>HRC</v>
      </c>
      <c r="AO89" s="1">
        <f t="shared" si="28"/>
        <v>3</v>
      </c>
      <c r="AP89" s="1">
        <f t="shared" si="29"/>
        <v>1</v>
      </c>
      <c r="AR89" s="281" t="s">
        <v>122</v>
      </c>
      <c r="AS89" s="275">
        <v>1</v>
      </c>
      <c r="AT89" s="275">
        <v>4</v>
      </c>
      <c r="AU89" s="275">
        <v>3</v>
      </c>
      <c r="AV89" s="282">
        <v>3</v>
      </c>
      <c r="AW89" s="1">
        <v>3</v>
      </c>
      <c r="AX89" s="281">
        <v>39</v>
      </c>
      <c r="AY89" s="275" t="str">
        <f t="shared" si="14"/>
        <v>5M39</v>
      </c>
      <c r="AZ89" s="275">
        <v>1</v>
      </c>
      <c r="BA89" s="275">
        <v>4</v>
      </c>
      <c r="BB89" s="275">
        <v>3</v>
      </c>
      <c r="BC89" s="282">
        <v>3</v>
      </c>
      <c r="BD89" s="281">
        <v>39</v>
      </c>
      <c r="BE89" s="275" t="str">
        <f t="shared" si="15"/>
        <v>6M39</v>
      </c>
      <c r="BF89" s="275">
        <v>2</v>
      </c>
      <c r="BG89" s="275">
        <v>5</v>
      </c>
      <c r="BH89" s="275">
        <v>3</v>
      </c>
      <c r="BI89" s="282">
        <v>1</v>
      </c>
      <c r="BJ89" s="281">
        <v>39</v>
      </c>
      <c r="BK89" s="275" t="str">
        <f t="shared" si="16"/>
        <v>7M39</v>
      </c>
      <c r="BL89" s="275">
        <v>1</v>
      </c>
      <c r="BM89" s="275">
        <v>4</v>
      </c>
      <c r="BN89" s="275">
        <v>2</v>
      </c>
      <c r="BO89" s="282">
        <v>5</v>
      </c>
      <c r="BP89" s="281">
        <v>39</v>
      </c>
      <c r="BQ89" s="275" t="str">
        <f t="shared" si="17"/>
        <v>8M39</v>
      </c>
      <c r="BR89" s="275">
        <v>1</v>
      </c>
      <c r="BS89" s="275">
        <v>7</v>
      </c>
      <c r="BT89" s="275">
        <v>3</v>
      </c>
      <c r="BU89" s="282">
        <v>1</v>
      </c>
    </row>
    <row r="90" spans="31:73">
      <c r="AE90" s="1">
        <f t="shared" si="7"/>
        <v>3</v>
      </c>
      <c r="AF90" s="1">
        <v>40</v>
      </c>
      <c r="AG90" s="1">
        <f t="shared" si="8"/>
        <v>2</v>
      </c>
      <c r="AH90" s="1">
        <f t="shared" si="26"/>
        <v>6</v>
      </c>
      <c r="AI90" s="1" t="str">
        <f t="shared" si="27"/>
        <v>SBC</v>
      </c>
      <c r="AJ90" s="1">
        <f t="shared" si="22"/>
        <v>140</v>
      </c>
      <c r="AK90" s="1" t="str">
        <f t="shared" si="23"/>
        <v>大橋洋子</v>
      </c>
      <c r="AL90" s="1" t="str">
        <f t="shared" si="24"/>
        <v>堂園雅也</v>
      </c>
      <c r="AM90" s="1">
        <f t="shared" si="25"/>
        <v>180</v>
      </c>
      <c r="AN90" s="1" t="str">
        <f t="shared" si="11"/>
        <v>HRC</v>
      </c>
      <c r="AO90" s="1">
        <f t="shared" si="28"/>
        <v>3</v>
      </c>
      <c r="AP90" s="1">
        <f t="shared" si="29"/>
        <v>2</v>
      </c>
      <c r="AR90" s="283" t="s">
        <v>123</v>
      </c>
      <c r="AS90" s="276">
        <v>1</v>
      </c>
      <c r="AT90" s="276">
        <v>5</v>
      </c>
      <c r="AU90" s="276">
        <v>3</v>
      </c>
      <c r="AV90" s="284">
        <v>4</v>
      </c>
      <c r="AW90" s="1">
        <v>3</v>
      </c>
      <c r="AX90" s="283">
        <v>40</v>
      </c>
      <c r="AY90" s="276" t="str">
        <f t="shared" si="14"/>
        <v>5M40</v>
      </c>
      <c r="AZ90" s="276">
        <v>1</v>
      </c>
      <c r="BA90" s="276">
        <v>5</v>
      </c>
      <c r="BB90" s="276">
        <v>3</v>
      </c>
      <c r="BC90" s="284">
        <v>4</v>
      </c>
      <c r="BD90" s="281">
        <v>40</v>
      </c>
      <c r="BE90" s="275" t="str">
        <f t="shared" si="15"/>
        <v>6M40</v>
      </c>
      <c r="BF90" s="275">
        <v>2</v>
      </c>
      <c r="BG90" s="275">
        <v>6</v>
      </c>
      <c r="BH90" s="275">
        <v>3</v>
      </c>
      <c r="BI90" s="282">
        <v>2</v>
      </c>
      <c r="BJ90" s="281">
        <v>40</v>
      </c>
      <c r="BK90" s="275" t="str">
        <f t="shared" si="16"/>
        <v>7M40</v>
      </c>
      <c r="BL90" s="275">
        <v>1</v>
      </c>
      <c r="BM90" s="275">
        <v>5</v>
      </c>
      <c r="BN90" s="275">
        <v>2</v>
      </c>
      <c r="BO90" s="282">
        <v>6</v>
      </c>
      <c r="BP90" s="283">
        <v>40</v>
      </c>
      <c r="BQ90" s="276" t="str">
        <f t="shared" si="17"/>
        <v>8M40</v>
      </c>
      <c r="BR90" s="276">
        <v>1</v>
      </c>
      <c r="BS90" s="276">
        <v>8</v>
      </c>
      <c r="BT90" s="276">
        <v>3</v>
      </c>
      <c r="BU90" s="284">
        <v>2</v>
      </c>
    </row>
    <row r="91" spans="31:73">
      <c r="AE91" s="1">
        <f t="shared" si="7"/>
        <v>3</v>
      </c>
      <c r="AF91" s="1">
        <v>41</v>
      </c>
      <c r="AG91" s="1">
        <f t="shared" si="8"/>
        <v>2</v>
      </c>
      <c r="AH91" s="1">
        <f t="shared" si="26"/>
        <v>1</v>
      </c>
      <c r="AI91" s="1" t="str">
        <f t="shared" si="27"/>
        <v>SBC</v>
      </c>
      <c r="AJ91" s="1">
        <f t="shared" si="22"/>
        <v>180</v>
      </c>
      <c r="AK91" s="1" t="str">
        <f t="shared" si="23"/>
        <v>大橋正寛</v>
      </c>
      <c r="AL91" s="1" t="str">
        <f t="shared" si="24"/>
        <v>平井洸志</v>
      </c>
      <c r="AM91" s="1">
        <f t="shared" si="25"/>
        <v>180</v>
      </c>
      <c r="AN91" s="1" t="str">
        <f t="shared" si="11"/>
        <v>HRC</v>
      </c>
      <c r="AO91" s="1">
        <f t="shared" si="28"/>
        <v>3</v>
      </c>
      <c r="AP91" s="1">
        <f t="shared" si="29"/>
        <v>3</v>
      </c>
      <c r="AR91" s="285" t="s">
        <v>124</v>
      </c>
      <c r="AS91" s="274">
        <v>1</v>
      </c>
      <c r="AT91" s="274">
        <v>1</v>
      </c>
      <c r="AU91" s="274">
        <v>2</v>
      </c>
      <c r="AV91" s="286">
        <v>3</v>
      </c>
      <c r="AW91" s="1">
        <v>3</v>
      </c>
      <c r="AX91" s="285">
        <v>41</v>
      </c>
      <c r="AY91" s="274" t="str">
        <f t="shared" si="14"/>
        <v>5M41</v>
      </c>
      <c r="AZ91" s="274">
        <v>1</v>
      </c>
      <c r="BA91" s="274">
        <v>1</v>
      </c>
      <c r="BB91" s="274">
        <v>2</v>
      </c>
      <c r="BC91" s="286">
        <v>3</v>
      </c>
      <c r="BD91" s="281">
        <v>41</v>
      </c>
      <c r="BE91" s="275" t="str">
        <f t="shared" si="15"/>
        <v>6M41</v>
      </c>
      <c r="BF91" s="275">
        <v>2</v>
      </c>
      <c r="BG91" s="275">
        <v>1</v>
      </c>
      <c r="BH91" s="275">
        <v>3</v>
      </c>
      <c r="BI91" s="282">
        <v>3</v>
      </c>
      <c r="BJ91" s="281">
        <v>41</v>
      </c>
      <c r="BK91" s="275" t="str">
        <f t="shared" si="16"/>
        <v>7M41</v>
      </c>
      <c r="BL91" s="275">
        <v>1</v>
      </c>
      <c r="BM91" s="275">
        <v>6</v>
      </c>
      <c r="BN91" s="275">
        <v>2</v>
      </c>
      <c r="BO91" s="282">
        <v>7</v>
      </c>
      <c r="BP91" s="285">
        <v>41</v>
      </c>
      <c r="BQ91" s="274" t="str">
        <f t="shared" si="17"/>
        <v>8M41</v>
      </c>
      <c r="BR91" s="274">
        <v>1</v>
      </c>
      <c r="BS91" s="274">
        <v>1</v>
      </c>
      <c r="BT91" s="274">
        <v>2</v>
      </c>
      <c r="BU91" s="286">
        <v>2</v>
      </c>
    </row>
    <row r="92" spans="31:73" ht="16.8" thickBot="1">
      <c r="AE92" s="1">
        <f t="shared" si="7"/>
        <v>3</v>
      </c>
      <c r="AF92" s="1">
        <v>42</v>
      </c>
      <c r="AG92" s="1">
        <f t="shared" si="8"/>
        <v>2</v>
      </c>
      <c r="AH92" s="1">
        <f t="shared" si="26"/>
        <v>2</v>
      </c>
      <c r="AI92" s="1" t="str">
        <f t="shared" si="27"/>
        <v>SBC</v>
      </c>
      <c r="AJ92" s="1">
        <f t="shared" si="22"/>
        <v>180</v>
      </c>
      <c r="AK92" s="1" t="str">
        <f t="shared" si="23"/>
        <v>長田智紀</v>
      </c>
      <c r="AL92" s="1" t="str">
        <f t="shared" si="24"/>
        <v>宮井健太郎</v>
      </c>
      <c r="AM92" s="1">
        <f t="shared" si="25"/>
        <v>180</v>
      </c>
      <c r="AN92" s="1" t="str">
        <f t="shared" si="11"/>
        <v>HRC</v>
      </c>
      <c r="AO92" s="1">
        <f t="shared" si="28"/>
        <v>3</v>
      </c>
      <c r="AP92" s="1">
        <f t="shared" si="29"/>
        <v>4</v>
      </c>
      <c r="AR92" s="281" t="s">
        <v>125</v>
      </c>
      <c r="AS92" s="275">
        <v>1</v>
      </c>
      <c r="AT92" s="275">
        <v>2</v>
      </c>
      <c r="AU92" s="275">
        <v>2</v>
      </c>
      <c r="AV92" s="282">
        <v>4</v>
      </c>
      <c r="AW92" s="1">
        <v>3</v>
      </c>
      <c r="AX92" s="281">
        <v>42</v>
      </c>
      <c r="AY92" s="275" t="str">
        <f t="shared" si="14"/>
        <v>5M42</v>
      </c>
      <c r="AZ92" s="275">
        <v>1</v>
      </c>
      <c r="BA92" s="275">
        <v>2</v>
      </c>
      <c r="BB92" s="275">
        <v>2</v>
      </c>
      <c r="BC92" s="282">
        <v>4</v>
      </c>
      <c r="BD92" s="283">
        <v>42</v>
      </c>
      <c r="BE92" s="276" t="str">
        <f t="shared" si="15"/>
        <v>6M42</v>
      </c>
      <c r="BF92" s="276">
        <v>2</v>
      </c>
      <c r="BG92" s="276">
        <v>2</v>
      </c>
      <c r="BH92" s="276">
        <v>3</v>
      </c>
      <c r="BI92" s="284">
        <v>4</v>
      </c>
      <c r="BJ92" s="287">
        <v>42</v>
      </c>
      <c r="BK92" s="288" t="str">
        <f t="shared" si="16"/>
        <v>7M42</v>
      </c>
      <c r="BL92" s="288">
        <v>1</v>
      </c>
      <c r="BM92" s="288">
        <v>7</v>
      </c>
      <c r="BN92" s="288">
        <v>2</v>
      </c>
      <c r="BO92" s="289">
        <v>1</v>
      </c>
      <c r="BP92" s="281">
        <v>42</v>
      </c>
      <c r="BQ92" s="275" t="str">
        <f t="shared" si="17"/>
        <v>8M42</v>
      </c>
      <c r="BR92" s="275">
        <v>1</v>
      </c>
      <c r="BS92" s="275">
        <v>2</v>
      </c>
      <c r="BT92" s="275">
        <v>2</v>
      </c>
      <c r="BU92" s="282">
        <v>3</v>
      </c>
    </row>
    <row r="93" spans="31:73">
      <c r="AE93" s="1">
        <f t="shared" si="7"/>
        <v>3</v>
      </c>
      <c r="AF93" s="1">
        <v>43</v>
      </c>
      <c r="AG93" s="1">
        <f t="shared" si="8"/>
        <v>1</v>
      </c>
      <c r="AH93" s="1">
        <f t="shared" si="26"/>
        <v>1</v>
      </c>
      <c r="AI93" s="1" t="str">
        <f t="shared" si="27"/>
        <v>NRC</v>
      </c>
      <c r="AJ93" s="1">
        <f t="shared" si="22"/>
        <v>180</v>
      </c>
      <c r="AK93" s="1" t="str">
        <f t="shared" si="23"/>
        <v>吉向翔平</v>
      </c>
      <c r="AL93" s="1" t="str">
        <f t="shared" si="24"/>
        <v>金井健太郎</v>
      </c>
      <c r="AM93" s="1">
        <f t="shared" si="25"/>
        <v>180</v>
      </c>
      <c r="AN93" s="1" t="str">
        <f t="shared" si="11"/>
        <v>HRC</v>
      </c>
      <c r="AO93" s="1">
        <f t="shared" si="28"/>
        <v>3</v>
      </c>
      <c r="AP93" s="1">
        <f t="shared" si="29"/>
        <v>5</v>
      </c>
      <c r="AR93" s="281" t="s">
        <v>126</v>
      </c>
      <c r="AS93" s="275">
        <v>1</v>
      </c>
      <c r="AT93" s="275">
        <v>3</v>
      </c>
      <c r="AU93" s="275">
        <v>2</v>
      </c>
      <c r="AV93" s="282">
        <v>5</v>
      </c>
      <c r="AW93" s="1">
        <v>3</v>
      </c>
      <c r="AX93" s="281">
        <v>43</v>
      </c>
      <c r="AY93" s="275" t="str">
        <f t="shared" si="14"/>
        <v>5M43</v>
      </c>
      <c r="AZ93" s="275">
        <v>1</v>
      </c>
      <c r="BA93" s="275">
        <v>3</v>
      </c>
      <c r="BB93" s="275">
        <v>2</v>
      </c>
      <c r="BC93" s="282">
        <v>5</v>
      </c>
      <c r="BD93" s="285">
        <v>43</v>
      </c>
      <c r="BE93" s="274" t="str">
        <f t="shared" si="15"/>
        <v>6M43</v>
      </c>
      <c r="BF93" s="274">
        <v>1</v>
      </c>
      <c r="BG93" s="274">
        <v>1</v>
      </c>
      <c r="BH93" s="274">
        <v>3</v>
      </c>
      <c r="BI93" s="286">
        <v>5</v>
      </c>
      <c r="BJ93" s="278">
        <v>43</v>
      </c>
      <c r="BK93" s="279" t="str">
        <f t="shared" si="16"/>
        <v>7M43</v>
      </c>
      <c r="BL93" s="279">
        <v>2</v>
      </c>
      <c r="BM93" s="279">
        <v>3</v>
      </c>
      <c r="BN93" s="279">
        <v>3</v>
      </c>
      <c r="BO93" s="280">
        <v>5</v>
      </c>
      <c r="BP93" s="281">
        <v>43</v>
      </c>
      <c r="BQ93" s="275" t="str">
        <f t="shared" si="17"/>
        <v>8M43</v>
      </c>
      <c r="BR93" s="275">
        <v>1</v>
      </c>
      <c r="BS93" s="275">
        <v>3</v>
      </c>
      <c r="BT93" s="275">
        <v>2</v>
      </c>
      <c r="BU93" s="282">
        <v>4</v>
      </c>
    </row>
    <row r="94" spans="31:73">
      <c r="AE94" s="1">
        <f t="shared" si="7"/>
        <v>3</v>
      </c>
      <c r="AF94" s="1">
        <v>44</v>
      </c>
      <c r="AG94" s="1">
        <f t="shared" si="8"/>
        <v>1</v>
      </c>
      <c r="AH94" s="1">
        <f t="shared" si="26"/>
        <v>2</v>
      </c>
      <c r="AI94" s="1" t="str">
        <f t="shared" si="27"/>
        <v>NRC</v>
      </c>
      <c r="AJ94" s="1">
        <f t="shared" si="22"/>
        <v>180</v>
      </c>
      <c r="AK94" s="1" t="str">
        <f t="shared" si="23"/>
        <v>岩本剛</v>
      </c>
      <c r="AL94" s="1" t="str">
        <f t="shared" si="24"/>
        <v>河地恵里</v>
      </c>
      <c r="AM94" s="1">
        <f t="shared" si="25"/>
        <v>140</v>
      </c>
      <c r="AN94" s="1" t="str">
        <f t="shared" si="11"/>
        <v>HRC</v>
      </c>
      <c r="AO94" s="1">
        <f t="shared" si="28"/>
        <v>3</v>
      </c>
      <c r="AP94" s="1">
        <f t="shared" si="29"/>
        <v>6</v>
      </c>
      <c r="AR94" s="281" t="s">
        <v>127</v>
      </c>
      <c r="AS94" s="275">
        <v>1</v>
      </c>
      <c r="AT94" s="275">
        <v>4</v>
      </c>
      <c r="AU94" s="275">
        <v>2</v>
      </c>
      <c r="AV94" s="282">
        <v>1</v>
      </c>
      <c r="AW94" s="1">
        <v>3</v>
      </c>
      <c r="AX94" s="281">
        <v>44</v>
      </c>
      <c r="AY94" s="275" t="str">
        <f t="shared" si="14"/>
        <v>5M44</v>
      </c>
      <c r="AZ94" s="275">
        <v>1</v>
      </c>
      <c r="BA94" s="275">
        <v>4</v>
      </c>
      <c r="BB94" s="275">
        <v>2</v>
      </c>
      <c r="BC94" s="282">
        <v>1</v>
      </c>
      <c r="BD94" s="281">
        <v>44</v>
      </c>
      <c r="BE94" s="275" t="str">
        <f t="shared" si="15"/>
        <v>6M44</v>
      </c>
      <c r="BF94" s="275">
        <v>1</v>
      </c>
      <c r="BG94" s="275">
        <v>2</v>
      </c>
      <c r="BH94" s="275">
        <v>3</v>
      </c>
      <c r="BI94" s="282">
        <v>6</v>
      </c>
      <c r="BJ94" s="281">
        <v>44</v>
      </c>
      <c r="BK94" s="275" t="str">
        <f t="shared" si="16"/>
        <v>7M44</v>
      </c>
      <c r="BL94" s="275">
        <v>2</v>
      </c>
      <c r="BM94" s="275">
        <v>4</v>
      </c>
      <c r="BN94" s="275">
        <v>3</v>
      </c>
      <c r="BO94" s="282">
        <v>6</v>
      </c>
      <c r="BP94" s="281">
        <v>44</v>
      </c>
      <c r="BQ94" s="275" t="str">
        <f t="shared" si="17"/>
        <v>8M44</v>
      </c>
      <c r="BR94" s="275">
        <v>1</v>
      </c>
      <c r="BS94" s="275">
        <v>4</v>
      </c>
      <c r="BT94" s="275">
        <v>2</v>
      </c>
      <c r="BU94" s="282">
        <v>5</v>
      </c>
    </row>
    <row r="95" spans="31:73" ht="16.8" thickBot="1">
      <c r="AE95" s="1">
        <f t="shared" si="7"/>
        <v>3</v>
      </c>
      <c r="AF95" s="1">
        <v>45</v>
      </c>
      <c r="AG95" s="1">
        <f t="shared" si="8"/>
        <v>1</v>
      </c>
      <c r="AH95" s="1">
        <f t="shared" si="26"/>
        <v>3</v>
      </c>
      <c r="AI95" s="1" t="str">
        <f t="shared" si="27"/>
        <v>NRC</v>
      </c>
      <c r="AJ95" s="1">
        <f t="shared" si="22"/>
        <v>180</v>
      </c>
      <c r="AK95" s="1" t="str">
        <f t="shared" si="23"/>
        <v>長谷川進</v>
      </c>
      <c r="AL95" s="1" t="str">
        <f t="shared" si="24"/>
        <v>宮本一</v>
      </c>
      <c r="AM95" s="1">
        <f t="shared" si="25"/>
        <v>180</v>
      </c>
      <c r="AN95" s="1" t="str">
        <f t="shared" si="11"/>
        <v>HRC</v>
      </c>
      <c r="AO95" s="1">
        <f t="shared" si="28"/>
        <v>3</v>
      </c>
      <c r="AP95" s="1">
        <f t="shared" si="29"/>
        <v>1</v>
      </c>
      <c r="AR95" s="287" t="s">
        <v>128</v>
      </c>
      <c r="AS95" s="288">
        <v>1</v>
      </c>
      <c r="AT95" s="288">
        <v>5</v>
      </c>
      <c r="AU95" s="288">
        <v>2</v>
      </c>
      <c r="AV95" s="289">
        <v>2</v>
      </c>
      <c r="AW95" s="1">
        <v>3</v>
      </c>
      <c r="AX95" s="287">
        <v>45</v>
      </c>
      <c r="AY95" s="288" t="str">
        <f t="shared" si="14"/>
        <v>5M45</v>
      </c>
      <c r="AZ95" s="288">
        <v>1</v>
      </c>
      <c r="BA95" s="288">
        <v>5</v>
      </c>
      <c r="BB95" s="288">
        <v>2</v>
      </c>
      <c r="BC95" s="289">
        <v>2</v>
      </c>
      <c r="BD95" s="281">
        <v>45</v>
      </c>
      <c r="BE95" s="275" t="str">
        <f t="shared" si="15"/>
        <v>6M45</v>
      </c>
      <c r="BF95" s="275">
        <v>1</v>
      </c>
      <c r="BG95" s="275">
        <v>3</v>
      </c>
      <c r="BH95" s="275">
        <v>3</v>
      </c>
      <c r="BI95" s="282">
        <v>1</v>
      </c>
      <c r="BJ95" s="281">
        <v>45</v>
      </c>
      <c r="BK95" s="275" t="str">
        <f t="shared" si="16"/>
        <v>7M45</v>
      </c>
      <c r="BL95" s="275">
        <v>2</v>
      </c>
      <c r="BM95" s="275">
        <v>5</v>
      </c>
      <c r="BN95" s="275">
        <v>3</v>
      </c>
      <c r="BO95" s="282">
        <v>7</v>
      </c>
      <c r="BP95" s="281">
        <v>45</v>
      </c>
      <c r="BQ95" s="275" t="str">
        <f t="shared" si="17"/>
        <v>8M45</v>
      </c>
      <c r="BR95" s="275">
        <v>1</v>
      </c>
      <c r="BS95" s="275">
        <v>5</v>
      </c>
      <c r="BT95" s="275">
        <v>2</v>
      </c>
      <c r="BU95" s="282">
        <v>6</v>
      </c>
    </row>
    <row r="96" spans="31:73">
      <c r="AE96" s="1">
        <f t="shared" si="7"/>
        <v>3</v>
      </c>
      <c r="AF96" s="1">
        <v>46</v>
      </c>
      <c r="AG96" s="1">
        <f t="shared" si="8"/>
        <v>1</v>
      </c>
      <c r="AH96" s="1">
        <f t="shared" si="26"/>
        <v>4</v>
      </c>
      <c r="AI96" s="1" t="str">
        <f t="shared" si="27"/>
        <v>NRC</v>
      </c>
      <c r="AJ96" s="1">
        <f t="shared" si="22"/>
        <v>180</v>
      </c>
      <c r="AK96" s="1" t="str">
        <f t="shared" si="23"/>
        <v>井本高史</v>
      </c>
      <c r="AL96" s="1" t="str">
        <f t="shared" si="24"/>
        <v>堂園雅也</v>
      </c>
      <c r="AM96" s="1">
        <f t="shared" si="25"/>
        <v>180</v>
      </c>
      <c r="AN96" s="1" t="str">
        <f t="shared" si="11"/>
        <v>HRC</v>
      </c>
      <c r="AO96" s="1">
        <f t="shared" si="28"/>
        <v>3</v>
      </c>
      <c r="AP96" s="1">
        <f t="shared" si="29"/>
        <v>2</v>
      </c>
      <c r="AR96" s="278" t="s">
        <v>129</v>
      </c>
      <c r="AS96" s="279">
        <v>2</v>
      </c>
      <c r="AT96" s="279">
        <v>1</v>
      </c>
      <c r="AU96" s="279">
        <v>3</v>
      </c>
      <c r="AV96" s="280">
        <v>1</v>
      </c>
      <c r="AW96" s="1">
        <v>1</v>
      </c>
      <c r="BD96" s="281">
        <v>46</v>
      </c>
      <c r="BE96" s="275" t="str">
        <f t="shared" si="15"/>
        <v>6M46</v>
      </c>
      <c r="BF96" s="275">
        <v>1</v>
      </c>
      <c r="BG96" s="275">
        <v>4</v>
      </c>
      <c r="BH96" s="275">
        <v>3</v>
      </c>
      <c r="BI96" s="282">
        <v>2</v>
      </c>
      <c r="BJ96" s="281">
        <v>46</v>
      </c>
      <c r="BK96" s="275" t="str">
        <f t="shared" si="16"/>
        <v>7M46</v>
      </c>
      <c r="BL96" s="275">
        <v>2</v>
      </c>
      <c r="BM96" s="275">
        <v>6</v>
      </c>
      <c r="BN96" s="275">
        <v>3</v>
      </c>
      <c r="BO96" s="282">
        <v>1</v>
      </c>
      <c r="BP96" s="281">
        <v>46</v>
      </c>
      <c r="BQ96" s="275" t="str">
        <f t="shared" si="17"/>
        <v>8M46</v>
      </c>
      <c r="BR96" s="275">
        <v>1</v>
      </c>
      <c r="BS96" s="275">
        <v>6</v>
      </c>
      <c r="BT96" s="275">
        <v>2</v>
      </c>
      <c r="BU96" s="282">
        <v>7</v>
      </c>
    </row>
    <row r="97" spans="31:73">
      <c r="AE97" s="1">
        <f t="shared" si="7"/>
        <v>3</v>
      </c>
      <c r="AF97" s="1">
        <v>47</v>
      </c>
      <c r="AG97" s="1">
        <f t="shared" si="8"/>
        <v>1</v>
      </c>
      <c r="AH97" s="1">
        <f t="shared" si="26"/>
        <v>5</v>
      </c>
      <c r="AI97" s="1" t="str">
        <f t="shared" si="27"/>
        <v>NRC</v>
      </c>
      <c r="AJ97" s="1">
        <f t="shared" si="22"/>
        <v>180</v>
      </c>
      <c r="AK97" s="1" t="str">
        <f t="shared" si="23"/>
        <v>金澤茂昌</v>
      </c>
      <c r="AL97" s="1" t="str">
        <f t="shared" si="24"/>
        <v>平井洸志</v>
      </c>
      <c r="AM97" s="1">
        <f t="shared" si="25"/>
        <v>180</v>
      </c>
      <c r="AN97" s="1" t="str">
        <f t="shared" si="11"/>
        <v>HRC</v>
      </c>
      <c r="AO97" s="1">
        <f t="shared" si="28"/>
        <v>3</v>
      </c>
      <c r="AP97" s="1">
        <f t="shared" si="29"/>
        <v>3</v>
      </c>
      <c r="AR97" s="281" t="s">
        <v>130</v>
      </c>
      <c r="AS97" s="275">
        <v>2</v>
      </c>
      <c r="AT97" s="275">
        <v>2</v>
      </c>
      <c r="AU97" s="275">
        <v>3</v>
      </c>
      <c r="AV97" s="282">
        <v>2</v>
      </c>
      <c r="AW97" s="1">
        <v>1</v>
      </c>
      <c r="BD97" s="281">
        <v>47</v>
      </c>
      <c r="BE97" s="275" t="str">
        <f t="shared" si="15"/>
        <v>6M47</v>
      </c>
      <c r="BF97" s="275">
        <v>1</v>
      </c>
      <c r="BG97" s="275">
        <v>5</v>
      </c>
      <c r="BH97" s="275">
        <v>3</v>
      </c>
      <c r="BI97" s="282">
        <v>3</v>
      </c>
      <c r="BJ97" s="281">
        <v>47</v>
      </c>
      <c r="BK97" s="275" t="str">
        <f t="shared" si="16"/>
        <v>7M47</v>
      </c>
      <c r="BL97" s="275">
        <v>2</v>
      </c>
      <c r="BM97" s="275">
        <v>7</v>
      </c>
      <c r="BN97" s="275">
        <v>3</v>
      </c>
      <c r="BO97" s="282">
        <v>2</v>
      </c>
      <c r="BP97" s="281">
        <v>47</v>
      </c>
      <c r="BQ97" s="275" t="str">
        <f t="shared" si="17"/>
        <v>8M47</v>
      </c>
      <c r="BR97" s="275">
        <v>1</v>
      </c>
      <c r="BS97" s="275">
        <v>7</v>
      </c>
      <c r="BT97" s="275">
        <v>2</v>
      </c>
      <c r="BU97" s="282">
        <v>8</v>
      </c>
    </row>
    <row r="98" spans="31:73" ht="16.8" thickBot="1">
      <c r="AE98" s="1">
        <f t="shared" si="7"/>
        <v>3</v>
      </c>
      <c r="AF98" s="1">
        <v>48</v>
      </c>
      <c r="AG98" s="1">
        <f t="shared" si="8"/>
        <v>1</v>
      </c>
      <c r="AH98" s="1">
        <f t="shared" si="26"/>
        <v>6</v>
      </c>
      <c r="AI98" s="1" t="str">
        <f t="shared" si="27"/>
        <v>NRC</v>
      </c>
      <c r="AJ98" s="1">
        <f t="shared" si="22"/>
        <v>140</v>
      </c>
      <c r="AK98" s="1" t="str">
        <f t="shared" si="23"/>
        <v>宮野早織</v>
      </c>
      <c r="AL98" s="1" t="str">
        <f t="shared" si="24"/>
        <v>宮井健太郎</v>
      </c>
      <c r="AM98" s="1">
        <f t="shared" si="25"/>
        <v>180</v>
      </c>
      <c r="AN98" s="1" t="str">
        <f t="shared" si="11"/>
        <v>HRC</v>
      </c>
      <c r="AO98" s="1">
        <f t="shared" si="28"/>
        <v>3</v>
      </c>
      <c r="AP98" s="1">
        <f t="shared" si="29"/>
        <v>4</v>
      </c>
      <c r="AR98" s="281" t="s">
        <v>131</v>
      </c>
      <c r="AS98" s="275">
        <v>2</v>
      </c>
      <c r="AT98" s="275">
        <v>3</v>
      </c>
      <c r="AU98" s="275">
        <v>3</v>
      </c>
      <c r="AV98" s="282">
        <v>3</v>
      </c>
      <c r="AW98" s="1">
        <v>1</v>
      </c>
      <c r="BD98" s="283">
        <v>48</v>
      </c>
      <c r="BE98" s="276" t="str">
        <f t="shared" si="15"/>
        <v>6M48</v>
      </c>
      <c r="BF98" s="276">
        <v>1</v>
      </c>
      <c r="BG98" s="276">
        <v>6</v>
      </c>
      <c r="BH98" s="276">
        <v>3</v>
      </c>
      <c r="BI98" s="284">
        <v>4</v>
      </c>
      <c r="BJ98" s="281">
        <v>48</v>
      </c>
      <c r="BK98" s="275" t="str">
        <f t="shared" si="16"/>
        <v>7M48</v>
      </c>
      <c r="BL98" s="275">
        <v>2</v>
      </c>
      <c r="BM98" s="275">
        <v>1</v>
      </c>
      <c r="BN98" s="275">
        <v>3</v>
      </c>
      <c r="BO98" s="282">
        <v>3</v>
      </c>
      <c r="BP98" s="287">
        <v>48</v>
      </c>
      <c r="BQ98" s="288" t="str">
        <f t="shared" si="17"/>
        <v>8M48</v>
      </c>
      <c r="BR98" s="288">
        <v>1</v>
      </c>
      <c r="BS98" s="288">
        <v>8</v>
      </c>
      <c r="BT98" s="288">
        <v>2</v>
      </c>
      <c r="BU98" s="289">
        <v>1</v>
      </c>
    </row>
    <row r="99" spans="31:73">
      <c r="AE99" s="1">
        <f t="shared" si="7"/>
        <v>3</v>
      </c>
      <c r="AF99" s="1">
        <v>49</v>
      </c>
      <c r="AG99" s="1">
        <f t="shared" si="8"/>
        <v>1</v>
      </c>
      <c r="AH99" s="1">
        <f t="shared" si="26"/>
        <v>1</v>
      </c>
      <c r="AI99" s="1" t="str">
        <f t="shared" si="27"/>
        <v>NRC</v>
      </c>
      <c r="AJ99" s="1">
        <f t="shared" si="22"/>
        <v>180</v>
      </c>
      <c r="AK99" s="1" t="str">
        <f t="shared" si="23"/>
        <v>吉向翔平</v>
      </c>
      <c r="AL99" s="1" t="str">
        <f t="shared" si="24"/>
        <v>西峰久祐</v>
      </c>
      <c r="AM99" s="1">
        <f t="shared" si="25"/>
        <v>180</v>
      </c>
      <c r="AN99" s="1" t="str">
        <f t="shared" si="11"/>
        <v>SBC</v>
      </c>
      <c r="AO99" s="1">
        <f t="shared" si="28"/>
        <v>2</v>
      </c>
      <c r="AP99" s="1">
        <f t="shared" si="29"/>
        <v>3</v>
      </c>
      <c r="AR99" s="281" t="s">
        <v>132</v>
      </c>
      <c r="AS99" s="275">
        <v>2</v>
      </c>
      <c r="AT99" s="275">
        <v>4</v>
      </c>
      <c r="AU99" s="275">
        <v>3</v>
      </c>
      <c r="AV99" s="282">
        <v>4</v>
      </c>
      <c r="AW99" s="1">
        <v>1</v>
      </c>
      <c r="BD99" s="285">
        <v>49</v>
      </c>
      <c r="BE99" s="274" t="str">
        <f t="shared" si="15"/>
        <v>6M49</v>
      </c>
      <c r="BF99" s="274">
        <v>1</v>
      </c>
      <c r="BG99" s="274">
        <v>1</v>
      </c>
      <c r="BH99" s="274">
        <v>2</v>
      </c>
      <c r="BI99" s="286">
        <v>3</v>
      </c>
      <c r="BJ99" s="295">
        <v>49</v>
      </c>
      <c r="BK99" s="277" t="str">
        <f t="shared" si="16"/>
        <v>7M49</v>
      </c>
      <c r="BL99" s="277">
        <v>2</v>
      </c>
      <c r="BM99" s="277">
        <v>2</v>
      </c>
      <c r="BN99" s="277">
        <v>3</v>
      </c>
      <c r="BO99" s="296">
        <v>4</v>
      </c>
      <c r="BP99" s="278">
        <v>49</v>
      </c>
      <c r="BQ99" s="279" t="str">
        <f t="shared" si="17"/>
        <v>8M49</v>
      </c>
      <c r="BR99" s="279">
        <v>2</v>
      </c>
      <c r="BS99" s="279">
        <v>3</v>
      </c>
      <c r="BT99" s="279">
        <v>3</v>
      </c>
      <c r="BU99" s="280">
        <v>5</v>
      </c>
    </row>
    <row r="100" spans="31:73">
      <c r="AE100" s="1">
        <f t="shared" si="7"/>
        <v>3</v>
      </c>
      <c r="AF100" s="1">
        <v>50</v>
      </c>
      <c r="AG100" s="1">
        <f t="shared" si="8"/>
        <v>1</v>
      </c>
      <c r="AH100" s="1">
        <f t="shared" si="26"/>
        <v>2</v>
      </c>
      <c r="AI100" s="1" t="str">
        <f t="shared" si="27"/>
        <v>NRC</v>
      </c>
      <c r="AJ100" s="1">
        <f t="shared" si="22"/>
        <v>180</v>
      </c>
      <c r="AK100" s="1" t="str">
        <f t="shared" si="23"/>
        <v>岩本剛</v>
      </c>
      <c r="AL100" s="1" t="str">
        <f t="shared" si="24"/>
        <v>大橋義治</v>
      </c>
      <c r="AM100" s="1">
        <f t="shared" si="25"/>
        <v>180</v>
      </c>
      <c r="AN100" s="1" t="str">
        <f t="shared" si="11"/>
        <v>SBC</v>
      </c>
      <c r="AO100" s="1">
        <f t="shared" si="28"/>
        <v>2</v>
      </c>
      <c r="AP100" s="1">
        <f t="shared" si="29"/>
        <v>4</v>
      </c>
      <c r="AR100" s="281" t="s">
        <v>133</v>
      </c>
      <c r="AS100" s="275">
        <v>2</v>
      </c>
      <c r="AT100" s="275">
        <v>5</v>
      </c>
      <c r="AU100" s="275">
        <v>3</v>
      </c>
      <c r="AV100" s="282">
        <v>5</v>
      </c>
      <c r="AW100" s="1">
        <v>1</v>
      </c>
      <c r="BD100" s="281">
        <v>50</v>
      </c>
      <c r="BE100" s="275" t="str">
        <f t="shared" si="15"/>
        <v>6M50</v>
      </c>
      <c r="BF100" s="275">
        <v>1</v>
      </c>
      <c r="BG100" s="275">
        <v>2</v>
      </c>
      <c r="BH100" s="275">
        <v>2</v>
      </c>
      <c r="BI100" s="282">
        <v>4</v>
      </c>
      <c r="BJ100" s="285">
        <v>50</v>
      </c>
      <c r="BK100" s="274" t="str">
        <f t="shared" si="16"/>
        <v>7M50</v>
      </c>
      <c r="BL100" s="274">
        <v>1</v>
      </c>
      <c r="BM100" s="274">
        <v>1</v>
      </c>
      <c r="BN100" s="274">
        <v>3</v>
      </c>
      <c r="BO100" s="286">
        <v>5</v>
      </c>
      <c r="BP100" s="281">
        <v>50</v>
      </c>
      <c r="BQ100" s="275" t="str">
        <f t="shared" si="17"/>
        <v>8M50</v>
      </c>
      <c r="BR100" s="275">
        <v>2</v>
      </c>
      <c r="BS100" s="275">
        <v>4</v>
      </c>
      <c r="BT100" s="275">
        <v>3</v>
      </c>
      <c r="BU100" s="282">
        <v>6</v>
      </c>
    </row>
    <row r="101" spans="31:73">
      <c r="AE101" s="1">
        <f t="shared" si="7"/>
        <v>3</v>
      </c>
      <c r="AF101" s="1">
        <v>51</v>
      </c>
      <c r="AG101" s="1">
        <f t="shared" si="8"/>
        <v>1</v>
      </c>
      <c r="AH101" s="1">
        <f t="shared" si="26"/>
        <v>3</v>
      </c>
      <c r="AI101" s="1" t="str">
        <f t="shared" si="27"/>
        <v>NRC</v>
      </c>
      <c r="AJ101" s="1">
        <f t="shared" si="22"/>
        <v>180</v>
      </c>
      <c r="AK101" s="1" t="str">
        <f t="shared" si="23"/>
        <v>長谷川進</v>
      </c>
      <c r="AL101" s="1" t="str">
        <f t="shared" si="24"/>
        <v>山中康寛</v>
      </c>
      <c r="AM101" s="1">
        <f t="shared" si="25"/>
        <v>180</v>
      </c>
      <c r="AN101" s="1" t="str">
        <f t="shared" si="11"/>
        <v>SBC</v>
      </c>
      <c r="AO101" s="1">
        <f t="shared" si="28"/>
        <v>2</v>
      </c>
      <c r="AP101" s="1">
        <f t="shared" si="29"/>
        <v>5</v>
      </c>
      <c r="AR101" s="283" t="s">
        <v>134</v>
      </c>
      <c r="AS101" s="276">
        <v>2</v>
      </c>
      <c r="AT101" s="276">
        <v>6</v>
      </c>
      <c r="AU101" s="276">
        <v>3</v>
      </c>
      <c r="AV101" s="284">
        <v>6</v>
      </c>
      <c r="AW101" s="1">
        <v>1</v>
      </c>
      <c r="BD101" s="281">
        <v>51</v>
      </c>
      <c r="BE101" s="275" t="str">
        <f t="shared" si="15"/>
        <v>6M51</v>
      </c>
      <c r="BF101" s="275">
        <v>1</v>
      </c>
      <c r="BG101" s="275">
        <v>3</v>
      </c>
      <c r="BH101" s="275">
        <v>2</v>
      </c>
      <c r="BI101" s="282">
        <v>5</v>
      </c>
      <c r="BJ101" s="281">
        <v>51</v>
      </c>
      <c r="BK101" s="275" t="str">
        <f t="shared" si="16"/>
        <v>7M51</v>
      </c>
      <c r="BL101" s="275">
        <v>1</v>
      </c>
      <c r="BM101" s="275">
        <v>2</v>
      </c>
      <c r="BN101" s="275">
        <v>3</v>
      </c>
      <c r="BO101" s="282">
        <v>6</v>
      </c>
      <c r="BP101" s="281">
        <v>51</v>
      </c>
      <c r="BQ101" s="275" t="str">
        <f t="shared" si="17"/>
        <v>8M51</v>
      </c>
      <c r="BR101" s="275">
        <v>2</v>
      </c>
      <c r="BS101" s="275">
        <v>5</v>
      </c>
      <c r="BT101" s="275">
        <v>3</v>
      </c>
      <c r="BU101" s="282">
        <v>7</v>
      </c>
    </row>
    <row r="102" spans="31:73">
      <c r="AE102" s="1">
        <f t="shared" si="7"/>
        <v>3</v>
      </c>
      <c r="AF102" s="1">
        <v>52</v>
      </c>
      <c r="AG102" s="1">
        <f t="shared" si="8"/>
        <v>1</v>
      </c>
      <c r="AH102" s="1">
        <f t="shared" si="26"/>
        <v>4</v>
      </c>
      <c r="AI102" s="1" t="str">
        <f t="shared" si="27"/>
        <v>NRC</v>
      </c>
      <c r="AJ102" s="1">
        <f t="shared" si="22"/>
        <v>180</v>
      </c>
      <c r="AK102" s="1" t="str">
        <f t="shared" si="23"/>
        <v>井本高史</v>
      </c>
      <c r="AL102" s="1" t="str">
        <f t="shared" si="24"/>
        <v>大橋洋子</v>
      </c>
      <c r="AM102" s="1">
        <f t="shared" si="25"/>
        <v>140</v>
      </c>
      <c r="AN102" s="1" t="str">
        <f t="shared" si="11"/>
        <v>SBC</v>
      </c>
      <c r="AO102" s="1">
        <f t="shared" si="28"/>
        <v>2</v>
      </c>
      <c r="AP102" s="1">
        <f t="shared" si="29"/>
        <v>6</v>
      </c>
      <c r="AR102" s="285" t="s">
        <v>135</v>
      </c>
      <c r="AS102" s="274">
        <v>1</v>
      </c>
      <c r="AT102" s="274">
        <v>1</v>
      </c>
      <c r="AU102" s="274">
        <v>3</v>
      </c>
      <c r="AV102" s="286">
        <v>1</v>
      </c>
      <c r="AW102" s="1">
        <v>1</v>
      </c>
      <c r="BD102" s="281">
        <v>52</v>
      </c>
      <c r="BE102" s="275" t="str">
        <f t="shared" si="15"/>
        <v>6M52</v>
      </c>
      <c r="BF102" s="275">
        <v>1</v>
      </c>
      <c r="BG102" s="275">
        <v>4</v>
      </c>
      <c r="BH102" s="275">
        <v>2</v>
      </c>
      <c r="BI102" s="282">
        <v>6</v>
      </c>
      <c r="BJ102" s="281">
        <v>52</v>
      </c>
      <c r="BK102" s="275" t="str">
        <f t="shared" si="16"/>
        <v>7M52</v>
      </c>
      <c r="BL102" s="275">
        <v>1</v>
      </c>
      <c r="BM102" s="275">
        <v>3</v>
      </c>
      <c r="BN102" s="275">
        <v>3</v>
      </c>
      <c r="BO102" s="282">
        <v>7</v>
      </c>
      <c r="BP102" s="281">
        <v>52</v>
      </c>
      <c r="BQ102" s="275" t="str">
        <f t="shared" si="17"/>
        <v>8M52</v>
      </c>
      <c r="BR102" s="275">
        <v>2</v>
      </c>
      <c r="BS102" s="275">
        <v>6</v>
      </c>
      <c r="BT102" s="275">
        <v>3</v>
      </c>
      <c r="BU102" s="282">
        <v>8</v>
      </c>
    </row>
    <row r="103" spans="31:73">
      <c r="AE103" s="1">
        <f t="shared" si="7"/>
        <v>3</v>
      </c>
      <c r="AF103" s="1">
        <v>53</v>
      </c>
      <c r="AG103" s="1">
        <f t="shared" si="8"/>
        <v>1</v>
      </c>
      <c r="AH103" s="1">
        <f t="shared" si="26"/>
        <v>5</v>
      </c>
      <c r="AI103" s="1" t="str">
        <f t="shared" si="27"/>
        <v>NRC</v>
      </c>
      <c r="AJ103" s="1">
        <f t="shared" si="22"/>
        <v>180</v>
      </c>
      <c r="AK103" s="1" t="str">
        <f t="shared" si="23"/>
        <v>金澤茂昌</v>
      </c>
      <c r="AL103" s="1" t="str">
        <f t="shared" si="24"/>
        <v>大橋正寛</v>
      </c>
      <c r="AM103" s="1">
        <f t="shared" si="25"/>
        <v>180</v>
      </c>
      <c r="AN103" s="1" t="str">
        <f t="shared" si="11"/>
        <v>SBC</v>
      </c>
      <c r="AO103" s="1">
        <f t="shared" si="28"/>
        <v>2</v>
      </c>
      <c r="AP103" s="1">
        <f t="shared" si="29"/>
        <v>1</v>
      </c>
      <c r="AR103" s="281" t="s">
        <v>136</v>
      </c>
      <c r="AS103" s="275">
        <v>1</v>
      </c>
      <c r="AT103" s="275">
        <v>2</v>
      </c>
      <c r="AU103" s="275">
        <v>3</v>
      </c>
      <c r="AV103" s="282">
        <v>2</v>
      </c>
      <c r="AW103" s="1">
        <v>1</v>
      </c>
      <c r="BD103" s="281">
        <v>53</v>
      </c>
      <c r="BE103" s="275" t="str">
        <f t="shared" si="15"/>
        <v>6M53</v>
      </c>
      <c r="BF103" s="275">
        <v>1</v>
      </c>
      <c r="BG103" s="275">
        <v>5</v>
      </c>
      <c r="BH103" s="275">
        <v>2</v>
      </c>
      <c r="BI103" s="282">
        <v>1</v>
      </c>
      <c r="BJ103" s="281">
        <v>53</v>
      </c>
      <c r="BK103" s="275" t="str">
        <f t="shared" si="16"/>
        <v>7M53</v>
      </c>
      <c r="BL103" s="275">
        <v>1</v>
      </c>
      <c r="BM103" s="275">
        <v>4</v>
      </c>
      <c r="BN103" s="275">
        <v>3</v>
      </c>
      <c r="BO103" s="282">
        <v>1</v>
      </c>
      <c r="BP103" s="281">
        <v>53</v>
      </c>
      <c r="BQ103" s="275" t="str">
        <f t="shared" si="17"/>
        <v>8M53</v>
      </c>
      <c r="BR103" s="275">
        <v>2</v>
      </c>
      <c r="BS103" s="275">
        <v>7</v>
      </c>
      <c r="BT103" s="275">
        <v>3</v>
      </c>
      <c r="BU103" s="282">
        <v>1</v>
      </c>
    </row>
    <row r="104" spans="31:73" ht="16.8" thickBot="1">
      <c r="AE104" s="1">
        <f t="shared" si="7"/>
        <v>3</v>
      </c>
      <c r="AF104" s="1">
        <v>54</v>
      </c>
      <c r="AG104" s="1">
        <f t="shared" si="8"/>
        <v>1</v>
      </c>
      <c r="AH104" s="1">
        <f t="shared" si="26"/>
        <v>6</v>
      </c>
      <c r="AI104" s="1" t="str">
        <f t="shared" si="27"/>
        <v>NRC</v>
      </c>
      <c r="AJ104" s="1">
        <f t="shared" si="22"/>
        <v>140</v>
      </c>
      <c r="AK104" s="1" t="str">
        <f t="shared" si="23"/>
        <v>宮野早織</v>
      </c>
      <c r="AL104" s="1" t="str">
        <f t="shared" si="24"/>
        <v>長田智紀</v>
      </c>
      <c r="AM104" s="1">
        <f t="shared" si="25"/>
        <v>180</v>
      </c>
      <c r="AN104" s="1" t="str">
        <f t="shared" si="11"/>
        <v>SBC</v>
      </c>
      <c r="AO104" s="1">
        <f t="shared" si="28"/>
        <v>2</v>
      </c>
      <c r="AP104" s="1">
        <f t="shared" si="29"/>
        <v>2</v>
      </c>
      <c r="AR104" s="281" t="s">
        <v>137</v>
      </c>
      <c r="AS104" s="275">
        <v>1</v>
      </c>
      <c r="AT104" s="275">
        <v>3</v>
      </c>
      <c r="AU104" s="275">
        <v>3</v>
      </c>
      <c r="AV104" s="282">
        <v>3</v>
      </c>
      <c r="AW104" s="1">
        <v>1</v>
      </c>
      <c r="BD104" s="287">
        <v>54</v>
      </c>
      <c r="BE104" s="288" t="str">
        <f t="shared" si="15"/>
        <v>6M54</v>
      </c>
      <c r="BF104" s="288">
        <v>1</v>
      </c>
      <c r="BG104" s="288">
        <v>6</v>
      </c>
      <c r="BH104" s="288">
        <v>2</v>
      </c>
      <c r="BI104" s="289">
        <v>2</v>
      </c>
      <c r="BJ104" s="281">
        <v>54</v>
      </c>
      <c r="BK104" s="275" t="str">
        <f t="shared" si="16"/>
        <v>7M54</v>
      </c>
      <c r="BL104" s="275">
        <v>1</v>
      </c>
      <c r="BM104" s="275">
        <v>5</v>
      </c>
      <c r="BN104" s="275">
        <v>3</v>
      </c>
      <c r="BO104" s="282">
        <v>2</v>
      </c>
      <c r="BP104" s="281">
        <v>54</v>
      </c>
      <c r="BQ104" s="275" t="str">
        <f t="shared" si="17"/>
        <v>8M54</v>
      </c>
      <c r="BR104" s="275">
        <v>2</v>
      </c>
      <c r="BS104" s="275">
        <v>8</v>
      </c>
      <c r="BT104" s="275">
        <v>3</v>
      </c>
      <c r="BU104" s="282">
        <v>2</v>
      </c>
    </row>
    <row r="105" spans="31:73">
      <c r="AE105" s="1" t="e">
        <f t="shared" si="7"/>
        <v>#N/A</v>
      </c>
      <c r="AF105" s="1">
        <v>55</v>
      </c>
      <c r="AG105" s="1" t="e">
        <f t="shared" si="8"/>
        <v>#N/A</v>
      </c>
      <c r="AH105" s="1" t="e">
        <f t="shared" si="26"/>
        <v>#N/A</v>
      </c>
      <c r="AI105" s="1" t="e">
        <f t="shared" si="27"/>
        <v>#N/A</v>
      </c>
      <c r="AJ105" s="1" t="e">
        <f t="shared" si="22"/>
        <v>#N/A</v>
      </c>
      <c r="AK105" s="1" t="e">
        <f t="shared" si="23"/>
        <v>#N/A</v>
      </c>
      <c r="AL105" s="1" t="e">
        <f t="shared" si="24"/>
        <v>#N/A</v>
      </c>
      <c r="AM105" s="1" t="e">
        <f t="shared" si="25"/>
        <v>#N/A</v>
      </c>
      <c r="AN105" s="1" t="e">
        <f t="shared" si="11"/>
        <v>#N/A</v>
      </c>
      <c r="AO105" s="1" t="e">
        <f t="shared" si="28"/>
        <v>#N/A</v>
      </c>
      <c r="AP105" s="1" t="e">
        <f t="shared" si="29"/>
        <v>#N/A</v>
      </c>
      <c r="AR105" s="281" t="s">
        <v>138</v>
      </c>
      <c r="AS105" s="275">
        <v>1</v>
      </c>
      <c r="AT105" s="275">
        <v>4</v>
      </c>
      <c r="AU105" s="275">
        <v>3</v>
      </c>
      <c r="AV105" s="282">
        <v>4</v>
      </c>
      <c r="AW105" s="1">
        <v>1</v>
      </c>
      <c r="BJ105" s="281">
        <v>55</v>
      </c>
      <c r="BK105" s="275" t="str">
        <f t="shared" si="16"/>
        <v>7M55</v>
      </c>
      <c r="BL105" s="275">
        <v>1</v>
      </c>
      <c r="BM105" s="275">
        <v>6</v>
      </c>
      <c r="BN105" s="275">
        <v>3</v>
      </c>
      <c r="BO105" s="282">
        <v>3</v>
      </c>
      <c r="BP105" s="281">
        <v>55</v>
      </c>
      <c r="BQ105" s="275" t="str">
        <f t="shared" si="17"/>
        <v>8M55</v>
      </c>
      <c r="BR105" s="275">
        <v>2</v>
      </c>
      <c r="BS105" s="275">
        <v>1</v>
      </c>
      <c r="BT105" s="275">
        <v>3</v>
      </c>
      <c r="BU105" s="282">
        <v>3</v>
      </c>
    </row>
    <row r="106" spans="31:73">
      <c r="AE106" s="1" t="e">
        <f t="shared" si="7"/>
        <v>#N/A</v>
      </c>
      <c r="AF106" s="1">
        <v>56</v>
      </c>
      <c r="AG106" s="1" t="e">
        <f t="shared" si="8"/>
        <v>#N/A</v>
      </c>
      <c r="AH106" s="1" t="e">
        <f t="shared" si="26"/>
        <v>#N/A</v>
      </c>
      <c r="AI106" s="1" t="e">
        <f t="shared" si="27"/>
        <v>#N/A</v>
      </c>
      <c r="AJ106" s="1" t="e">
        <f t="shared" si="22"/>
        <v>#N/A</v>
      </c>
      <c r="AK106" s="1" t="e">
        <f t="shared" si="23"/>
        <v>#N/A</v>
      </c>
      <c r="AL106" s="1" t="e">
        <f t="shared" si="24"/>
        <v>#N/A</v>
      </c>
      <c r="AM106" s="1" t="e">
        <f t="shared" si="25"/>
        <v>#N/A</v>
      </c>
      <c r="AN106" s="1" t="e">
        <f t="shared" si="11"/>
        <v>#N/A</v>
      </c>
      <c r="AO106" s="1" t="e">
        <f t="shared" si="28"/>
        <v>#N/A</v>
      </c>
      <c r="AP106" s="1" t="e">
        <f t="shared" si="29"/>
        <v>#N/A</v>
      </c>
      <c r="AR106" s="281" t="s">
        <v>139</v>
      </c>
      <c r="AS106" s="275">
        <v>1</v>
      </c>
      <c r="AT106" s="275">
        <v>5</v>
      </c>
      <c r="AU106" s="275">
        <v>3</v>
      </c>
      <c r="AV106" s="282">
        <v>5</v>
      </c>
      <c r="AW106" s="1">
        <v>1</v>
      </c>
      <c r="BJ106" s="283">
        <v>56</v>
      </c>
      <c r="BK106" s="276" t="str">
        <f t="shared" si="16"/>
        <v>7M56</v>
      </c>
      <c r="BL106" s="276">
        <v>1</v>
      </c>
      <c r="BM106" s="276">
        <v>7</v>
      </c>
      <c r="BN106" s="276">
        <v>3</v>
      </c>
      <c r="BO106" s="284">
        <v>4</v>
      </c>
      <c r="BP106" s="283">
        <v>56</v>
      </c>
      <c r="BQ106" s="276" t="str">
        <f t="shared" si="17"/>
        <v>8M56</v>
      </c>
      <c r="BR106" s="276">
        <v>2</v>
      </c>
      <c r="BS106" s="276">
        <v>2</v>
      </c>
      <c r="BT106" s="276">
        <v>3</v>
      </c>
      <c r="BU106" s="284">
        <v>4</v>
      </c>
    </row>
    <row r="107" spans="31:73">
      <c r="AE107" s="1" t="e">
        <f t="shared" si="7"/>
        <v>#N/A</v>
      </c>
      <c r="AF107" s="1">
        <v>57</v>
      </c>
      <c r="AG107" s="1" t="e">
        <f t="shared" si="8"/>
        <v>#N/A</v>
      </c>
      <c r="AH107" s="1" t="e">
        <f t="shared" si="26"/>
        <v>#N/A</v>
      </c>
      <c r="AI107" s="1" t="e">
        <f t="shared" si="27"/>
        <v>#N/A</v>
      </c>
      <c r="AJ107" s="1" t="e">
        <f t="shared" si="22"/>
        <v>#N/A</v>
      </c>
      <c r="AK107" s="1" t="e">
        <f t="shared" si="23"/>
        <v>#N/A</v>
      </c>
      <c r="AL107" s="1" t="e">
        <f t="shared" si="24"/>
        <v>#N/A</v>
      </c>
      <c r="AM107" s="1" t="e">
        <f t="shared" si="25"/>
        <v>#N/A</v>
      </c>
      <c r="AN107" s="1" t="e">
        <f t="shared" si="11"/>
        <v>#N/A</v>
      </c>
      <c r="AO107" s="1" t="e">
        <f t="shared" si="28"/>
        <v>#N/A</v>
      </c>
      <c r="AP107" s="1" t="e">
        <f t="shared" si="29"/>
        <v>#N/A</v>
      </c>
      <c r="AR107" s="283" t="s">
        <v>140</v>
      </c>
      <c r="AS107" s="276">
        <v>1</v>
      </c>
      <c r="AT107" s="276">
        <v>6</v>
      </c>
      <c r="AU107" s="276">
        <v>3</v>
      </c>
      <c r="AV107" s="284">
        <v>6</v>
      </c>
      <c r="AW107" s="1">
        <v>1</v>
      </c>
      <c r="BJ107" s="285">
        <v>57</v>
      </c>
      <c r="BK107" s="274" t="str">
        <f t="shared" si="16"/>
        <v>7M57</v>
      </c>
      <c r="BL107" s="274">
        <v>1</v>
      </c>
      <c r="BM107" s="274">
        <v>1</v>
      </c>
      <c r="BN107" s="274">
        <v>2</v>
      </c>
      <c r="BO107" s="286">
        <v>3</v>
      </c>
      <c r="BP107" s="285">
        <v>57</v>
      </c>
      <c r="BQ107" s="274" t="str">
        <f t="shared" si="17"/>
        <v>8M57</v>
      </c>
      <c r="BR107" s="274">
        <v>1</v>
      </c>
      <c r="BS107" s="274">
        <v>1</v>
      </c>
      <c r="BT107" s="274">
        <v>3</v>
      </c>
      <c r="BU107" s="286">
        <v>5</v>
      </c>
    </row>
    <row r="108" spans="31:73">
      <c r="AE108" s="1" t="e">
        <f t="shared" si="7"/>
        <v>#N/A</v>
      </c>
      <c r="AF108" s="1">
        <v>58</v>
      </c>
      <c r="AG108" s="1" t="e">
        <f t="shared" si="8"/>
        <v>#N/A</v>
      </c>
      <c r="AH108" s="1" t="e">
        <f t="shared" si="26"/>
        <v>#N/A</v>
      </c>
      <c r="AI108" s="1" t="e">
        <f t="shared" si="27"/>
        <v>#N/A</v>
      </c>
      <c r="AJ108" s="1" t="e">
        <f t="shared" si="22"/>
        <v>#N/A</v>
      </c>
      <c r="AK108" s="1" t="e">
        <f t="shared" si="23"/>
        <v>#N/A</v>
      </c>
      <c r="AL108" s="1" t="e">
        <f t="shared" si="24"/>
        <v>#N/A</v>
      </c>
      <c r="AM108" s="1" t="e">
        <f t="shared" si="25"/>
        <v>#N/A</v>
      </c>
      <c r="AN108" s="1" t="e">
        <f t="shared" si="11"/>
        <v>#N/A</v>
      </c>
      <c r="AO108" s="1" t="e">
        <f t="shared" si="28"/>
        <v>#N/A</v>
      </c>
      <c r="AP108" s="1" t="e">
        <f t="shared" si="29"/>
        <v>#N/A</v>
      </c>
      <c r="AR108" s="285" t="s">
        <v>141</v>
      </c>
      <c r="AS108" s="274">
        <v>1</v>
      </c>
      <c r="AT108" s="274">
        <v>1</v>
      </c>
      <c r="AU108" s="274">
        <v>2</v>
      </c>
      <c r="AV108" s="286">
        <v>1</v>
      </c>
      <c r="AW108" s="1">
        <v>1</v>
      </c>
      <c r="BJ108" s="281">
        <v>58</v>
      </c>
      <c r="BK108" s="275" t="str">
        <f t="shared" si="16"/>
        <v>7M58</v>
      </c>
      <c r="BL108" s="275">
        <v>1</v>
      </c>
      <c r="BM108" s="275">
        <v>2</v>
      </c>
      <c r="BN108" s="275">
        <v>2</v>
      </c>
      <c r="BO108" s="282">
        <v>4</v>
      </c>
      <c r="BP108" s="281">
        <v>58</v>
      </c>
      <c r="BQ108" s="275" t="str">
        <f t="shared" si="17"/>
        <v>8M58</v>
      </c>
      <c r="BR108" s="275">
        <v>1</v>
      </c>
      <c r="BS108" s="275">
        <v>2</v>
      </c>
      <c r="BT108" s="275">
        <v>3</v>
      </c>
      <c r="BU108" s="282">
        <v>6</v>
      </c>
    </row>
    <row r="109" spans="31:73">
      <c r="AE109" s="1" t="e">
        <f t="shared" si="7"/>
        <v>#N/A</v>
      </c>
      <c r="AF109" s="1">
        <v>59</v>
      </c>
      <c r="AG109" s="1" t="e">
        <f t="shared" si="8"/>
        <v>#N/A</v>
      </c>
      <c r="AH109" s="1" t="e">
        <f t="shared" si="26"/>
        <v>#N/A</v>
      </c>
      <c r="AI109" s="1" t="e">
        <f t="shared" si="27"/>
        <v>#N/A</v>
      </c>
      <c r="AJ109" s="1" t="e">
        <f t="shared" si="22"/>
        <v>#N/A</v>
      </c>
      <c r="AK109" s="1" t="e">
        <f t="shared" si="23"/>
        <v>#N/A</v>
      </c>
      <c r="AL109" s="1" t="e">
        <f t="shared" si="24"/>
        <v>#N/A</v>
      </c>
      <c r="AM109" s="1" t="e">
        <f t="shared" si="25"/>
        <v>#N/A</v>
      </c>
      <c r="AN109" s="1" t="e">
        <f t="shared" si="11"/>
        <v>#N/A</v>
      </c>
      <c r="AO109" s="1" t="e">
        <f t="shared" si="28"/>
        <v>#N/A</v>
      </c>
      <c r="AP109" s="1" t="e">
        <f t="shared" si="29"/>
        <v>#N/A</v>
      </c>
      <c r="AR109" s="281" t="s">
        <v>142</v>
      </c>
      <c r="AS109" s="275">
        <v>1</v>
      </c>
      <c r="AT109" s="275">
        <v>2</v>
      </c>
      <c r="AU109" s="275">
        <v>2</v>
      </c>
      <c r="AV109" s="282">
        <v>2</v>
      </c>
      <c r="AW109" s="1">
        <v>1</v>
      </c>
      <c r="BJ109" s="281">
        <v>59</v>
      </c>
      <c r="BK109" s="275" t="str">
        <f t="shared" si="16"/>
        <v>7M59</v>
      </c>
      <c r="BL109" s="275">
        <v>1</v>
      </c>
      <c r="BM109" s="275">
        <v>3</v>
      </c>
      <c r="BN109" s="275">
        <v>2</v>
      </c>
      <c r="BO109" s="282">
        <v>5</v>
      </c>
      <c r="BP109" s="281">
        <v>59</v>
      </c>
      <c r="BQ109" s="275" t="str">
        <f t="shared" si="17"/>
        <v>8M59</v>
      </c>
      <c r="BR109" s="275">
        <v>1</v>
      </c>
      <c r="BS109" s="275">
        <v>3</v>
      </c>
      <c r="BT109" s="275">
        <v>3</v>
      </c>
      <c r="BU109" s="282">
        <v>7</v>
      </c>
    </row>
    <row r="110" spans="31:73">
      <c r="AE110" s="1" t="e">
        <f t="shared" si="7"/>
        <v>#N/A</v>
      </c>
      <c r="AF110" s="1">
        <v>60</v>
      </c>
      <c r="AG110" s="1" t="e">
        <f t="shared" si="8"/>
        <v>#N/A</v>
      </c>
      <c r="AH110" s="1" t="e">
        <f t="shared" si="26"/>
        <v>#N/A</v>
      </c>
      <c r="AI110" s="1" t="e">
        <f t="shared" si="27"/>
        <v>#N/A</v>
      </c>
      <c r="AJ110" s="1" t="e">
        <f t="shared" si="22"/>
        <v>#N/A</v>
      </c>
      <c r="AK110" s="1" t="e">
        <f t="shared" si="23"/>
        <v>#N/A</v>
      </c>
      <c r="AL110" s="1" t="e">
        <f t="shared" si="24"/>
        <v>#N/A</v>
      </c>
      <c r="AM110" s="1" t="e">
        <f t="shared" si="25"/>
        <v>#N/A</v>
      </c>
      <c r="AN110" s="1" t="e">
        <f t="shared" si="11"/>
        <v>#N/A</v>
      </c>
      <c r="AO110" s="1" t="e">
        <f t="shared" si="28"/>
        <v>#N/A</v>
      </c>
      <c r="AP110" s="1" t="e">
        <f t="shared" si="29"/>
        <v>#N/A</v>
      </c>
      <c r="AR110" s="281" t="s">
        <v>143</v>
      </c>
      <c r="AS110" s="275">
        <v>1</v>
      </c>
      <c r="AT110" s="275">
        <v>3</v>
      </c>
      <c r="AU110" s="275">
        <v>2</v>
      </c>
      <c r="AV110" s="282">
        <v>3</v>
      </c>
      <c r="AW110" s="1">
        <v>1</v>
      </c>
      <c r="BJ110" s="281">
        <v>60</v>
      </c>
      <c r="BK110" s="275" t="str">
        <f t="shared" si="16"/>
        <v>7M60</v>
      </c>
      <c r="BL110" s="275">
        <v>1</v>
      </c>
      <c r="BM110" s="275">
        <v>4</v>
      </c>
      <c r="BN110" s="275">
        <v>2</v>
      </c>
      <c r="BO110" s="282">
        <v>6</v>
      </c>
      <c r="BP110" s="281">
        <v>60</v>
      </c>
      <c r="BQ110" s="275" t="str">
        <f t="shared" si="17"/>
        <v>8M60</v>
      </c>
      <c r="BR110" s="275">
        <v>1</v>
      </c>
      <c r="BS110" s="275">
        <v>4</v>
      </c>
      <c r="BT110" s="275">
        <v>3</v>
      </c>
      <c r="BU110" s="282">
        <v>8</v>
      </c>
    </row>
    <row r="111" spans="31:73">
      <c r="AE111" s="1" t="e">
        <f t="shared" si="7"/>
        <v>#N/A</v>
      </c>
      <c r="AF111" s="1">
        <v>61</v>
      </c>
      <c r="AG111" s="1" t="e">
        <f t="shared" si="8"/>
        <v>#N/A</v>
      </c>
      <c r="AH111" s="1" t="e">
        <f t="shared" si="26"/>
        <v>#N/A</v>
      </c>
      <c r="AI111" s="1" t="e">
        <f t="shared" si="27"/>
        <v>#N/A</v>
      </c>
      <c r="AJ111" s="1" t="e">
        <f t="shared" si="22"/>
        <v>#N/A</v>
      </c>
      <c r="AK111" s="1" t="e">
        <f t="shared" si="23"/>
        <v>#N/A</v>
      </c>
      <c r="AL111" s="1" t="e">
        <f t="shared" si="24"/>
        <v>#N/A</v>
      </c>
      <c r="AM111" s="1" t="e">
        <f t="shared" si="25"/>
        <v>#N/A</v>
      </c>
      <c r="AN111" s="1" t="e">
        <f t="shared" si="11"/>
        <v>#N/A</v>
      </c>
      <c r="AO111" s="1" t="e">
        <f t="shared" si="28"/>
        <v>#N/A</v>
      </c>
      <c r="AP111" s="1" t="e">
        <f t="shared" si="29"/>
        <v>#N/A</v>
      </c>
      <c r="AR111" s="281" t="s">
        <v>144</v>
      </c>
      <c r="AS111" s="275">
        <v>1</v>
      </c>
      <c r="AT111" s="275">
        <v>4</v>
      </c>
      <c r="AU111" s="275">
        <v>2</v>
      </c>
      <c r="AV111" s="282">
        <v>4</v>
      </c>
      <c r="AW111" s="1">
        <v>1</v>
      </c>
      <c r="BJ111" s="281">
        <v>61</v>
      </c>
      <c r="BK111" s="275" t="str">
        <f t="shared" si="16"/>
        <v>7M61</v>
      </c>
      <c r="BL111" s="275">
        <v>1</v>
      </c>
      <c r="BM111" s="275">
        <v>5</v>
      </c>
      <c r="BN111" s="275">
        <v>2</v>
      </c>
      <c r="BO111" s="282">
        <v>7</v>
      </c>
      <c r="BP111" s="281">
        <v>61</v>
      </c>
      <c r="BQ111" s="275" t="str">
        <f t="shared" si="17"/>
        <v>8M61</v>
      </c>
      <c r="BR111" s="275">
        <v>1</v>
      </c>
      <c r="BS111" s="275">
        <v>5</v>
      </c>
      <c r="BT111" s="275">
        <v>3</v>
      </c>
      <c r="BU111" s="282">
        <v>1</v>
      </c>
    </row>
    <row r="112" spans="31:73">
      <c r="AE112" s="1" t="e">
        <f t="shared" si="7"/>
        <v>#N/A</v>
      </c>
      <c r="AF112" s="1">
        <v>62</v>
      </c>
      <c r="AG112" s="1" t="e">
        <f t="shared" si="8"/>
        <v>#N/A</v>
      </c>
      <c r="AH112" s="1" t="e">
        <f t="shared" si="26"/>
        <v>#N/A</v>
      </c>
      <c r="AI112" s="1" t="e">
        <f t="shared" si="27"/>
        <v>#N/A</v>
      </c>
      <c r="AJ112" s="1" t="e">
        <f t="shared" si="22"/>
        <v>#N/A</v>
      </c>
      <c r="AK112" s="1" t="e">
        <f t="shared" si="23"/>
        <v>#N/A</v>
      </c>
      <c r="AL112" s="1" t="e">
        <f t="shared" si="24"/>
        <v>#N/A</v>
      </c>
      <c r="AM112" s="1" t="e">
        <f t="shared" si="25"/>
        <v>#N/A</v>
      </c>
      <c r="AN112" s="1" t="e">
        <f t="shared" si="11"/>
        <v>#N/A</v>
      </c>
      <c r="AO112" s="1" t="e">
        <f t="shared" si="28"/>
        <v>#N/A</v>
      </c>
      <c r="AP112" s="1" t="e">
        <f t="shared" si="29"/>
        <v>#N/A</v>
      </c>
      <c r="AR112" s="281" t="s">
        <v>145</v>
      </c>
      <c r="AS112" s="275">
        <v>1</v>
      </c>
      <c r="AT112" s="275">
        <v>5</v>
      </c>
      <c r="AU112" s="275">
        <v>2</v>
      </c>
      <c r="AV112" s="282">
        <v>5</v>
      </c>
      <c r="AW112" s="1">
        <v>1</v>
      </c>
      <c r="BJ112" s="281">
        <v>62</v>
      </c>
      <c r="BK112" s="275" t="str">
        <f t="shared" si="16"/>
        <v>7M62</v>
      </c>
      <c r="BL112" s="275">
        <v>1</v>
      </c>
      <c r="BM112" s="275">
        <v>6</v>
      </c>
      <c r="BN112" s="275">
        <v>2</v>
      </c>
      <c r="BO112" s="282">
        <v>1</v>
      </c>
      <c r="BP112" s="281">
        <v>62</v>
      </c>
      <c r="BQ112" s="275" t="str">
        <f t="shared" si="17"/>
        <v>8M62</v>
      </c>
      <c r="BR112" s="275">
        <v>1</v>
      </c>
      <c r="BS112" s="275">
        <v>6</v>
      </c>
      <c r="BT112" s="275">
        <v>3</v>
      </c>
      <c r="BU112" s="282">
        <v>2</v>
      </c>
    </row>
    <row r="113" spans="31:73" ht="16.8" thickBot="1">
      <c r="AE113" s="1" t="e">
        <f t="shared" si="7"/>
        <v>#N/A</v>
      </c>
      <c r="AF113" s="1">
        <v>63</v>
      </c>
      <c r="AG113" s="1" t="e">
        <f t="shared" si="8"/>
        <v>#N/A</v>
      </c>
      <c r="AH113" s="1" t="e">
        <f t="shared" si="26"/>
        <v>#N/A</v>
      </c>
      <c r="AI113" s="1" t="e">
        <f t="shared" si="27"/>
        <v>#N/A</v>
      </c>
      <c r="AJ113" s="1" t="e">
        <f t="shared" si="22"/>
        <v>#N/A</v>
      </c>
      <c r="AK113" s="1" t="e">
        <f t="shared" si="23"/>
        <v>#N/A</v>
      </c>
      <c r="AL113" s="1" t="e">
        <f t="shared" si="24"/>
        <v>#N/A</v>
      </c>
      <c r="AM113" s="1" t="e">
        <f t="shared" si="25"/>
        <v>#N/A</v>
      </c>
      <c r="AN113" s="1" t="e">
        <f t="shared" si="11"/>
        <v>#N/A</v>
      </c>
      <c r="AO113" s="1" t="e">
        <f t="shared" si="28"/>
        <v>#N/A</v>
      </c>
      <c r="AP113" s="1" t="e">
        <f t="shared" si="29"/>
        <v>#N/A</v>
      </c>
      <c r="AR113" s="287" t="s">
        <v>146</v>
      </c>
      <c r="AS113" s="288">
        <v>1</v>
      </c>
      <c r="AT113" s="288">
        <v>6</v>
      </c>
      <c r="AU113" s="288">
        <v>2</v>
      </c>
      <c r="AV113" s="289">
        <v>6</v>
      </c>
      <c r="AW113" s="1">
        <v>1</v>
      </c>
      <c r="BJ113" s="287">
        <v>63</v>
      </c>
      <c r="BK113" s="288" t="str">
        <f t="shared" si="16"/>
        <v>7M63</v>
      </c>
      <c r="BL113" s="288">
        <v>1</v>
      </c>
      <c r="BM113" s="288">
        <v>7</v>
      </c>
      <c r="BN113" s="288">
        <v>2</v>
      </c>
      <c r="BO113" s="289">
        <v>2</v>
      </c>
      <c r="BP113" s="281">
        <v>63</v>
      </c>
      <c r="BQ113" s="275" t="str">
        <f t="shared" si="17"/>
        <v>8M63</v>
      </c>
      <c r="BR113" s="275">
        <v>1</v>
      </c>
      <c r="BS113" s="275">
        <v>7</v>
      </c>
      <c r="BT113" s="275">
        <v>3</v>
      </c>
      <c r="BU113" s="282">
        <v>3</v>
      </c>
    </row>
    <row r="114" spans="31:73">
      <c r="AE114" s="1" t="e">
        <f t="shared" si="7"/>
        <v>#N/A</v>
      </c>
      <c r="AF114" s="1">
        <v>64</v>
      </c>
      <c r="AG114" s="1" t="e">
        <f t="shared" si="8"/>
        <v>#N/A</v>
      </c>
      <c r="AH114" s="1" t="e">
        <f t="shared" si="26"/>
        <v>#N/A</v>
      </c>
      <c r="AI114" s="1" t="e">
        <f t="shared" si="27"/>
        <v>#N/A</v>
      </c>
      <c r="AJ114" s="1" t="e">
        <f t="shared" si="22"/>
        <v>#N/A</v>
      </c>
      <c r="AK114" s="1" t="e">
        <f t="shared" si="23"/>
        <v>#N/A</v>
      </c>
      <c r="AL114" s="1" t="e">
        <f t="shared" si="24"/>
        <v>#N/A</v>
      </c>
      <c r="AM114" s="1" t="e">
        <f t="shared" si="25"/>
        <v>#N/A</v>
      </c>
      <c r="AN114" s="1" t="e">
        <f t="shared" si="11"/>
        <v>#N/A</v>
      </c>
      <c r="AO114" s="1" t="e">
        <f t="shared" si="28"/>
        <v>#N/A</v>
      </c>
      <c r="AP114" s="1" t="e">
        <f t="shared" si="29"/>
        <v>#N/A</v>
      </c>
      <c r="AR114" s="278" t="s">
        <v>147</v>
      </c>
      <c r="AS114" s="279">
        <v>2</v>
      </c>
      <c r="AT114" s="279">
        <v>2</v>
      </c>
      <c r="AU114" s="279">
        <v>3</v>
      </c>
      <c r="AV114" s="280">
        <v>3</v>
      </c>
      <c r="AW114" s="1">
        <v>2</v>
      </c>
      <c r="BP114" s="283">
        <v>64</v>
      </c>
      <c r="BQ114" s="276" t="str">
        <f t="shared" si="17"/>
        <v>8M64</v>
      </c>
      <c r="BR114" s="276">
        <v>1</v>
      </c>
      <c r="BS114" s="276">
        <v>8</v>
      </c>
      <c r="BT114" s="276">
        <v>3</v>
      </c>
      <c r="BU114" s="284">
        <v>4</v>
      </c>
    </row>
    <row r="115" spans="31:73">
      <c r="AE115" s="1" t="e">
        <f t="shared" si="7"/>
        <v>#N/A</v>
      </c>
      <c r="AF115" s="1">
        <v>65</v>
      </c>
      <c r="AG115" s="1" t="e">
        <f t="shared" si="8"/>
        <v>#N/A</v>
      </c>
      <c r="AH115" s="1" t="e">
        <f t="shared" si="26"/>
        <v>#N/A</v>
      </c>
      <c r="AI115" s="1" t="e">
        <f t="shared" si="27"/>
        <v>#N/A</v>
      </c>
      <c r="AJ115" s="1" t="e">
        <f t="shared" ref="AJ115:AJ122" si="30">VLOOKUP(VALUE(AG115&amp;AH115),$AI$5:$AL$28,4,FALSE)</f>
        <v>#N/A</v>
      </c>
      <c r="AK115" s="1" t="e">
        <f t="shared" ref="AK115:AK122" si="31">VLOOKUP(VALUE(AG115&amp;AH115),$AI$5:$AL$28,3,FALSE)</f>
        <v>#N/A</v>
      </c>
      <c r="AL115" s="1" t="e">
        <f t="shared" ref="AL115:AL122" si="32">VLOOKUP(VALUE(AO115&amp;AP115),$AI$5:$AL$28,3,FALSE)</f>
        <v>#N/A</v>
      </c>
      <c r="AM115" s="1" t="e">
        <f t="shared" ref="AM115:AM122" si="33">VLOOKUP(VALUE(AO115&amp;AP115),$AI$5:$AL$28,4,FALSE)</f>
        <v>#N/A</v>
      </c>
      <c r="AN115" s="1" t="e">
        <f t="shared" si="11"/>
        <v>#N/A</v>
      </c>
      <c r="AO115" s="1" t="e">
        <f t="shared" si="28"/>
        <v>#N/A</v>
      </c>
      <c r="AP115" s="1" t="e">
        <f t="shared" si="29"/>
        <v>#N/A</v>
      </c>
      <c r="AR115" s="281" t="s">
        <v>148</v>
      </c>
      <c r="AS115" s="275">
        <v>2</v>
      </c>
      <c r="AT115" s="275">
        <v>3</v>
      </c>
      <c r="AU115" s="275">
        <v>3</v>
      </c>
      <c r="AV115" s="282">
        <v>4</v>
      </c>
      <c r="AW115" s="1">
        <v>2</v>
      </c>
      <c r="BP115" s="285">
        <v>65</v>
      </c>
      <c r="BQ115" s="274" t="str">
        <f t="shared" si="17"/>
        <v>8M65</v>
      </c>
      <c r="BR115" s="274">
        <v>1</v>
      </c>
      <c r="BS115" s="274">
        <v>1</v>
      </c>
      <c r="BT115" s="274">
        <v>2</v>
      </c>
      <c r="BU115" s="286">
        <v>3</v>
      </c>
    </row>
    <row r="116" spans="31:73">
      <c r="AE116" s="1" t="e">
        <f t="shared" ref="AE116:AE122" si="34">VLOOKUP($AI$49&amp;AF116,$AR$51:$AW$1166,6,FALSE)</f>
        <v>#N/A</v>
      </c>
      <c r="AF116" s="1">
        <v>66</v>
      </c>
      <c r="AG116" s="1" t="e">
        <f t="shared" ref="AG116:AG122" si="35">VLOOKUP($AI$49&amp;AF116,$AR$51:$AW$1166,2,FALSE)</f>
        <v>#N/A</v>
      </c>
      <c r="AH116" s="1" t="e">
        <f t="shared" si="26"/>
        <v>#N/A</v>
      </c>
      <c r="AI116" s="1" t="e">
        <f t="shared" si="27"/>
        <v>#N/A</v>
      </c>
      <c r="AJ116" s="1" t="e">
        <f t="shared" si="30"/>
        <v>#N/A</v>
      </c>
      <c r="AK116" s="1" t="e">
        <f t="shared" si="31"/>
        <v>#N/A</v>
      </c>
      <c r="AL116" s="1" t="e">
        <f t="shared" si="32"/>
        <v>#N/A</v>
      </c>
      <c r="AM116" s="1" t="e">
        <f t="shared" si="33"/>
        <v>#N/A</v>
      </c>
      <c r="AN116" s="1" t="e">
        <f t="shared" ref="AN116:AN122" si="36">VLOOKUP(AO116,$AH$44:$AI$46,2,FALSE)</f>
        <v>#N/A</v>
      </c>
      <c r="AO116" s="1" t="e">
        <f t="shared" si="28"/>
        <v>#N/A</v>
      </c>
      <c r="AP116" s="1" t="e">
        <f t="shared" si="29"/>
        <v>#N/A</v>
      </c>
      <c r="AR116" s="281" t="s">
        <v>149</v>
      </c>
      <c r="AS116" s="275">
        <v>2</v>
      </c>
      <c r="AT116" s="275">
        <v>4</v>
      </c>
      <c r="AU116" s="275">
        <v>3</v>
      </c>
      <c r="AV116" s="282">
        <v>5</v>
      </c>
      <c r="AW116" s="1">
        <v>2</v>
      </c>
      <c r="BP116" s="281">
        <v>66</v>
      </c>
      <c r="BQ116" s="275" t="str">
        <f t="shared" ref="BQ116:BQ122" si="37">$BP$49&amp;$BQ$49&amp;BP116</f>
        <v>8M66</v>
      </c>
      <c r="BR116" s="275">
        <v>1</v>
      </c>
      <c r="BS116" s="275">
        <v>2</v>
      </c>
      <c r="BT116" s="275">
        <v>2</v>
      </c>
      <c r="BU116" s="282">
        <v>4</v>
      </c>
    </row>
    <row r="117" spans="31:73">
      <c r="AE117" s="1" t="e">
        <f t="shared" si="34"/>
        <v>#N/A</v>
      </c>
      <c r="AF117" s="1">
        <v>67</v>
      </c>
      <c r="AG117" s="1" t="e">
        <f t="shared" si="35"/>
        <v>#N/A</v>
      </c>
      <c r="AH117" s="1" t="e">
        <f t="shared" si="26"/>
        <v>#N/A</v>
      </c>
      <c r="AI117" s="1" t="e">
        <f t="shared" si="27"/>
        <v>#N/A</v>
      </c>
      <c r="AJ117" s="1" t="e">
        <f t="shared" si="30"/>
        <v>#N/A</v>
      </c>
      <c r="AK117" s="1" t="e">
        <f t="shared" si="31"/>
        <v>#N/A</v>
      </c>
      <c r="AL117" s="1" t="e">
        <f t="shared" si="32"/>
        <v>#N/A</v>
      </c>
      <c r="AM117" s="1" t="e">
        <f t="shared" si="33"/>
        <v>#N/A</v>
      </c>
      <c r="AN117" s="1" t="e">
        <f t="shared" si="36"/>
        <v>#N/A</v>
      </c>
      <c r="AO117" s="1" t="e">
        <f t="shared" si="28"/>
        <v>#N/A</v>
      </c>
      <c r="AP117" s="1" t="e">
        <f t="shared" si="29"/>
        <v>#N/A</v>
      </c>
      <c r="AR117" s="281" t="s">
        <v>150</v>
      </c>
      <c r="AS117" s="275">
        <v>2</v>
      </c>
      <c r="AT117" s="275">
        <v>5</v>
      </c>
      <c r="AU117" s="275">
        <v>3</v>
      </c>
      <c r="AV117" s="282">
        <v>6</v>
      </c>
      <c r="AW117" s="1">
        <v>2</v>
      </c>
      <c r="BP117" s="281">
        <v>67</v>
      </c>
      <c r="BQ117" s="275" t="str">
        <f t="shared" si="37"/>
        <v>8M67</v>
      </c>
      <c r="BR117" s="275">
        <v>1</v>
      </c>
      <c r="BS117" s="275">
        <v>3</v>
      </c>
      <c r="BT117" s="275">
        <v>2</v>
      </c>
      <c r="BU117" s="282">
        <v>5</v>
      </c>
    </row>
    <row r="118" spans="31:73">
      <c r="AE118" s="1" t="e">
        <f t="shared" si="34"/>
        <v>#N/A</v>
      </c>
      <c r="AF118" s="1">
        <v>68</v>
      </c>
      <c r="AG118" s="1" t="e">
        <f t="shared" si="35"/>
        <v>#N/A</v>
      </c>
      <c r="AH118" s="1" t="e">
        <f t="shared" si="26"/>
        <v>#N/A</v>
      </c>
      <c r="AI118" s="1" t="e">
        <f t="shared" si="27"/>
        <v>#N/A</v>
      </c>
      <c r="AJ118" s="1" t="e">
        <f t="shared" si="30"/>
        <v>#N/A</v>
      </c>
      <c r="AK118" s="1" t="e">
        <f t="shared" si="31"/>
        <v>#N/A</v>
      </c>
      <c r="AL118" s="1" t="e">
        <f t="shared" si="32"/>
        <v>#N/A</v>
      </c>
      <c r="AM118" s="1" t="e">
        <f t="shared" si="33"/>
        <v>#N/A</v>
      </c>
      <c r="AN118" s="1" t="e">
        <f t="shared" si="36"/>
        <v>#N/A</v>
      </c>
      <c r="AO118" s="1" t="e">
        <f t="shared" si="28"/>
        <v>#N/A</v>
      </c>
      <c r="AP118" s="1" t="e">
        <f t="shared" si="29"/>
        <v>#N/A</v>
      </c>
      <c r="AR118" s="281" t="s">
        <v>151</v>
      </c>
      <c r="AS118" s="275">
        <v>2</v>
      </c>
      <c r="AT118" s="275">
        <v>6</v>
      </c>
      <c r="AU118" s="275">
        <v>3</v>
      </c>
      <c r="AV118" s="282">
        <v>1</v>
      </c>
      <c r="AW118" s="1">
        <v>2</v>
      </c>
      <c r="BP118" s="281">
        <v>68</v>
      </c>
      <c r="BQ118" s="275" t="str">
        <f t="shared" si="37"/>
        <v>8M68</v>
      </c>
      <c r="BR118" s="275">
        <v>1</v>
      </c>
      <c r="BS118" s="275">
        <v>4</v>
      </c>
      <c r="BT118" s="275">
        <v>2</v>
      </c>
      <c r="BU118" s="282">
        <v>6</v>
      </c>
    </row>
    <row r="119" spans="31:73">
      <c r="AE119" s="1" t="e">
        <f t="shared" si="34"/>
        <v>#N/A</v>
      </c>
      <c r="AF119" s="1">
        <v>69</v>
      </c>
      <c r="AG119" s="1" t="e">
        <f t="shared" si="35"/>
        <v>#N/A</v>
      </c>
      <c r="AH119" s="1" t="e">
        <f t="shared" si="26"/>
        <v>#N/A</v>
      </c>
      <c r="AI119" s="1" t="e">
        <f t="shared" si="27"/>
        <v>#N/A</v>
      </c>
      <c r="AJ119" s="1" t="e">
        <f t="shared" si="30"/>
        <v>#N/A</v>
      </c>
      <c r="AK119" s="1" t="e">
        <f t="shared" si="31"/>
        <v>#N/A</v>
      </c>
      <c r="AL119" s="1" t="e">
        <f t="shared" si="32"/>
        <v>#N/A</v>
      </c>
      <c r="AM119" s="1" t="e">
        <f t="shared" si="33"/>
        <v>#N/A</v>
      </c>
      <c r="AN119" s="1" t="e">
        <f t="shared" si="36"/>
        <v>#N/A</v>
      </c>
      <c r="AO119" s="1" t="e">
        <f t="shared" si="28"/>
        <v>#N/A</v>
      </c>
      <c r="AP119" s="1" t="e">
        <f t="shared" si="29"/>
        <v>#N/A</v>
      </c>
      <c r="AR119" s="283" t="s">
        <v>152</v>
      </c>
      <c r="AS119" s="276">
        <v>2</v>
      </c>
      <c r="AT119" s="276">
        <v>1</v>
      </c>
      <c r="AU119" s="276">
        <v>3</v>
      </c>
      <c r="AV119" s="284">
        <v>2</v>
      </c>
      <c r="AW119" s="1">
        <v>2</v>
      </c>
      <c r="BP119" s="281">
        <v>69</v>
      </c>
      <c r="BQ119" s="275" t="str">
        <f t="shared" si="37"/>
        <v>8M69</v>
      </c>
      <c r="BR119" s="275">
        <v>1</v>
      </c>
      <c r="BS119" s="275">
        <v>5</v>
      </c>
      <c r="BT119" s="275">
        <v>2</v>
      </c>
      <c r="BU119" s="282">
        <v>7</v>
      </c>
    </row>
    <row r="120" spans="31:73">
      <c r="AE120" s="1" t="e">
        <f t="shared" si="34"/>
        <v>#N/A</v>
      </c>
      <c r="AF120" s="1">
        <v>70</v>
      </c>
      <c r="AG120" s="1" t="e">
        <f t="shared" si="35"/>
        <v>#N/A</v>
      </c>
      <c r="AH120" s="1" t="e">
        <f t="shared" si="26"/>
        <v>#N/A</v>
      </c>
      <c r="AI120" s="1" t="e">
        <f t="shared" si="27"/>
        <v>#N/A</v>
      </c>
      <c r="AJ120" s="1" t="e">
        <f t="shared" si="30"/>
        <v>#N/A</v>
      </c>
      <c r="AK120" s="1" t="e">
        <f t="shared" si="31"/>
        <v>#N/A</v>
      </c>
      <c r="AL120" s="1" t="e">
        <f t="shared" si="32"/>
        <v>#N/A</v>
      </c>
      <c r="AM120" s="1" t="e">
        <f t="shared" si="33"/>
        <v>#N/A</v>
      </c>
      <c r="AN120" s="1" t="e">
        <f t="shared" si="36"/>
        <v>#N/A</v>
      </c>
      <c r="AO120" s="1" t="e">
        <f t="shared" si="28"/>
        <v>#N/A</v>
      </c>
      <c r="AP120" s="1" t="e">
        <f t="shared" si="29"/>
        <v>#N/A</v>
      </c>
      <c r="AR120" s="285" t="s">
        <v>153</v>
      </c>
      <c r="AS120" s="274">
        <v>1</v>
      </c>
      <c r="AT120" s="274">
        <v>1</v>
      </c>
      <c r="AU120" s="274">
        <v>3</v>
      </c>
      <c r="AV120" s="286">
        <v>3</v>
      </c>
      <c r="AW120" s="1">
        <v>2</v>
      </c>
      <c r="BP120" s="281">
        <v>70</v>
      </c>
      <c r="BQ120" s="275" t="str">
        <f t="shared" si="37"/>
        <v>8M70</v>
      </c>
      <c r="BR120" s="275">
        <v>1</v>
      </c>
      <c r="BS120" s="275">
        <v>6</v>
      </c>
      <c r="BT120" s="275">
        <v>2</v>
      </c>
      <c r="BU120" s="282">
        <v>8</v>
      </c>
    </row>
    <row r="121" spans="31:73">
      <c r="AE121" s="1" t="e">
        <f t="shared" si="34"/>
        <v>#N/A</v>
      </c>
      <c r="AF121" s="1">
        <v>71</v>
      </c>
      <c r="AG121" s="1" t="e">
        <f t="shared" si="35"/>
        <v>#N/A</v>
      </c>
      <c r="AH121" s="1" t="e">
        <f t="shared" si="26"/>
        <v>#N/A</v>
      </c>
      <c r="AI121" s="1" t="e">
        <f t="shared" si="27"/>
        <v>#N/A</v>
      </c>
      <c r="AJ121" s="1" t="e">
        <f t="shared" si="30"/>
        <v>#N/A</v>
      </c>
      <c r="AK121" s="1" t="e">
        <f t="shared" si="31"/>
        <v>#N/A</v>
      </c>
      <c r="AL121" s="1" t="e">
        <f t="shared" si="32"/>
        <v>#N/A</v>
      </c>
      <c r="AM121" s="1" t="e">
        <f t="shared" si="33"/>
        <v>#N/A</v>
      </c>
      <c r="AN121" s="1" t="e">
        <f t="shared" si="36"/>
        <v>#N/A</v>
      </c>
      <c r="AO121" s="1" t="e">
        <f t="shared" si="28"/>
        <v>#N/A</v>
      </c>
      <c r="AP121" s="1" t="e">
        <f t="shared" si="29"/>
        <v>#N/A</v>
      </c>
      <c r="AR121" s="281" t="s">
        <v>154</v>
      </c>
      <c r="AS121" s="275">
        <v>1</v>
      </c>
      <c r="AT121" s="275">
        <v>2</v>
      </c>
      <c r="AU121" s="275">
        <v>3</v>
      </c>
      <c r="AV121" s="282">
        <v>4</v>
      </c>
      <c r="AW121" s="1">
        <v>2</v>
      </c>
      <c r="BP121" s="281">
        <v>71</v>
      </c>
      <c r="BQ121" s="275" t="str">
        <f t="shared" si="37"/>
        <v>8M71</v>
      </c>
      <c r="BR121" s="275">
        <v>1</v>
      </c>
      <c r="BS121" s="275">
        <v>7</v>
      </c>
      <c r="BT121" s="275">
        <v>2</v>
      </c>
      <c r="BU121" s="282">
        <v>1</v>
      </c>
    </row>
    <row r="122" spans="31:73" ht="16.8" thickBot="1">
      <c r="AE122" s="1" t="e">
        <f t="shared" si="34"/>
        <v>#N/A</v>
      </c>
      <c r="AF122" s="1">
        <v>72</v>
      </c>
      <c r="AG122" s="1" t="e">
        <f t="shared" si="35"/>
        <v>#N/A</v>
      </c>
      <c r="AH122" s="1" t="e">
        <f t="shared" si="26"/>
        <v>#N/A</v>
      </c>
      <c r="AI122" s="1" t="e">
        <f t="shared" si="27"/>
        <v>#N/A</v>
      </c>
      <c r="AJ122" s="1" t="e">
        <f t="shared" si="30"/>
        <v>#N/A</v>
      </c>
      <c r="AK122" s="1" t="e">
        <f t="shared" si="31"/>
        <v>#N/A</v>
      </c>
      <c r="AL122" s="1" t="e">
        <f t="shared" si="32"/>
        <v>#N/A</v>
      </c>
      <c r="AM122" s="1" t="e">
        <f t="shared" si="33"/>
        <v>#N/A</v>
      </c>
      <c r="AN122" s="1" t="e">
        <f t="shared" si="36"/>
        <v>#N/A</v>
      </c>
      <c r="AO122" s="1" t="e">
        <f t="shared" si="28"/>
        <v>#N/A</v>
      </c>
      <c r="AP122" s="1" t="e">
        <f t="shared" si="29"/>
        <v>#N/A</v>
      </c>
      <c r="AR122" s="281" t="s">
        <v>155</v>
      </c>
      <c r="AS122" s="275">
        <v>1</v>
      </c>
      <c r="AT122" s="275">
        <v>3</v>
      </c>
      <c r="AU122" s="275">
        <v>3</v>
      </c>
      <c r="AV122" s="282">
        <v>5</v>
      </c>
      <c r="AW122" s="1">
        <v>2</v>
      </c>
      <c r="BP122" s="287">
        <v>72</v>
      </c>
      <c r="BQ122" s="288" t="str">
        <f t="shared" si="37"/>
        <v>8M72</v>
      </c>
      <c r="BR122" s="288">
        <v>1</v>
      </c>
      <c r="BS122" s="288">
        <v>8</v>
      </c>
      <c r="BT122" s="288">
        <v>2</v>
      </c>
      <c r="BU122" s="289">
        <v>2</v>
      </c>
    </row>
    <row r="123" spans="31:73">
      <c r="AR123" s="281" t="s">
        <v>156</v>
      </c>
      <c r="AS123" s="275">
        <v>1</v>
      </c>
      <c r="AT123" s="275">
        <v>4</v>
      </c>
      <c r="AU123" s="275">
        <v>3</v>
      </c>
      <c r="AV123" s="282">
        <v>6</v>
      </c>
      <c r="AW123" s="1">
        <v>2</v>
      </c>
    </row>
    <row r="124" spans="31:73">
      <c r="AR124" s="281" t="s">
        <v>157</v>
      </c>
      <c r="AS124" s="275">
        <v>1</v>
      </c>
      <c r="AT124" s="275">
        <v>5</v>
      </c>
      <c r="AU124" s="275">
        <v>3</v>
      </c>
      <c r="AV124" s="282">
        <v>1</v>
      </c>
      <c r="AW124" s="1">
        <v>2</v>
      </c>
    </row>
    <row r="125" spans="31:73">
      <c r="AR125" s="283" t="s">
        <v>158</v>
      </c>
      <c r="AS125" s="276">
        <v>1</v>
      </c>
      <c r="AT125" s="276">
        <v>6</v>
      </c>
      <c r="AU125" s="276">
        <v>3</v>
      </c>
      <c r="AV125" s="284">
        <v>2</v>
      </c>
      <c r="AW125" s="1">
        <v>2</v>
      </c>
    </row>
    <row r="126" spans="31:73">
      <c r="AR126" s="285" t="s">
        <v>159</v>
      </c>
      <c r="AS126" s="274">
        <v>1</v>
      </c>
      <c r="AT126" s="274">
        <v>1</v>
      </c>
      <c r="AU126" s="274">
        <v>2</v>
      </c>
      <c r="AV126" s="286">
        <v>2</v>
      </c>
      <c r="AW126" s="1">
        <v>2</v>
      </c>
    </row>
    <row r="127" spans="31:73">
      <c r="AR127" s="281" t="s">
        <v>160</v>
      </c>
      <c r="AS127" s="275">
        <v>1</v>
      </c>
      <c r="AT127" s="275">
        <v>2</v>
      </c>
      <c r="AU127" s="275">
        <v>2</v>
      </c>
      <c r="AV127" s="282">
        <v>3</v>
      </c>
      <c r="AW127" s="1">
        <v>2</v>
      </c>
    </row>
    <row r="128" spans="31:73">
      <c r="AR128" s="281" t="s">
        <v>161</v>
      </c>
      <c r="AS128" s="275">
        <v>1</v>
      </c>
      <c r="AT128" s="275">
        <v>3</v>
      </c>
      <c r="AU128" s="275">
        <v>2</v>
      </c>
      <c r="AV128" s="282">
        <v>4</v>
      </c>
      <c r="AW128" s="1">
        <v>2</v>
      </c>
    </row>
    <row r="129" spans="44:49">
      <c r="AR129" s="281" t="s">
        <v>162</v>
      </c>
      <c r="AS129" s="275">
        <v>1</v>
      </c>
      <c r="AT129" s="275">
        <v>4</v>
      </c>
      <c r="AU129" s="275">
        <v>2</v>
      </c>
      <c r="AV129" s="282">
        <v>5</v>
      </c>
      <c r="AW129" s="1">
        <v>2</v>
      </c>
    </row>
    <row r="130" spans="44:49">
      <c r="AR130" s="281" t="s">
        <v>163</v>
      </c>
      <c r="AS130" s="275">
        <v>1</v>
      </c>
      <c r="AT130" s="275">
        <v>5</v>
      </c>
      <c r="AU130" s="275">
        <v>2</v>
      </c>
      <c r="AV130" s="282">
        <v>6</v>
      </c>
      <c r="AW130" s="1">
        <v>2</v>
      </c>
    </row>
    <row r="131" spans="44:49" ht="16.8" thickBot="1">
      <c r="AR131" s="287" t="s">
        <v>164</v>
      </c>
      <c r="AS131" s="288">
        <v>1</v>
      </c>
      <c r="AT131" s="288">
        <v>6</v>
      </c>
      <c r="AU131" s="288">
        <v>2</v>
      </c>
      <c r="AV131" s="289">
        <v>1</v>
      </c>
      <c r="AW131" s="1">
        <v>2</v>
      </c>
    </row>
    <row r="132" spans="44:49">
      <c r="AR132" s="278" t="s">
        <v>165</v>
      </c>
      <c r="AS132" s="279">
        <v>2</v>
      </c>
      <c r="AT132" s="279">
        <v>3</v>
      </c>
      <c r="AU132" s="279">
        <v>3</v>
      </c>
      <c r="AV132" s="280">
        <v>5</v>
      </c>
      <c r="AW132" s="1">
        <v>3</v>
      </c>
    </row>
    <row r="133" spans="44:49">
      <c r="AR133" s="281" t="s">
        <v>166</v>
      </c>
      <c r="AS133" s="275">
        <v>2</v>
      </c>
      <c r="AT133" s="275">
        <v>4</v>
      </c>
      <c r="AU133" s="275">
        <v>3</v>
      </c>
      <c r="AV133" s="282">
        <v>6</v>
      </c>
      <c r="AW133" s="1">
        <v>3</v>
      </c>
    </row>
    <row r="134" spans="44:49">
      <c r="AR134" s="281" t="s">
        <v>167</v>
      </c>
      <c r="AS134" s="275">
        <v>2</v>
      </c>
      <c r="AT134" s="275">
        <v>5</v>
      </c>
      <c r="AU134" s="275">
        <v>3</v>
      </c>
      <c r="AV134" s="282">
        <v>1</v>
      </c>
      <c r="AW134" s="1">
        <v>3</v>
      </c>
    </row>
    <row r="135" spans="44:49">
      <c r="AR135" s="281" t="s">
        <v>168</v>
      </c>
      <c r="AS135" s="275">
        <v>2</v>
      </c>
      <c r="AT135" s="275">
        <v>6</v>
      </c>
      <c r="AU135" s="275">
        <v>3</v>
      </c>
      <c r="AV135" s="282">
        <v>2</v>
      </c>
      <c r="AW135" s="1">
        <v>3</v>
      </c>
    </row>
    <row r="136" spans="44:49">
      <c r="AR136" s="281" t="s">
        <v>169</v>
      </c>
      <c r="AS136" s="275">
        <v>2</v>
      </c>
      <c r="AT136" s="275">
        <v>1</v>
      </c>
      <c r="AU136" s="275">
        <v>3</v>
      </c>
      <c r="AV136" s="282">
        <v>3</v>
      </c>
      <c r="AW136" s="1">
        <v>3</v>
      </c>
    </row>
    <row r="137" spans="44:49">
      <c r="AR137" s="283" t="s">
        <v>170</v>
      </c>
      <c r="AS137" s="276">
        <v>2</v>
      </c>
      <c r="AT137" s="276">
        <v>2</v>
      </c>
      <c r="AU137" s="276">
        <v>3</v>
      </c>
      <c r="AV137" s="284">
        <v>4</v>
      </c>
      <c r="AW137" s="1">
        <v>3</v>
      </c>
    </row>
    <row r="138" spans="44:49">
      <c r="AR138" s="285" t="s">
        <v>171</v>
      </c>
      <c r="AS138" s="274">
        <v>1</v>
      </c>
      <c r="AT138" s="274">
        <v>1</v>
      </c>
      <c r="AU138" s="274">
        <v>3</v>
      </c>
      <c r="AV138" s="286">
        <v>5</v>
      </c>
      <c r="AW138" s="1">
        <v>3</v>
      </c>
    </row>
    <row r="139" spans="44:49">
      <c r="AR139" s="281" t="s">
        <v>172</v>
      </c>
      <c r="AS139" s="275">
        <v>1</v>
      </c>
      <c r="AT139" s="275">
        <v>2</v>
      </c>
      <c r="AU139" s="275">
        <v>3</v>
      </c>
      <c r="AV139" s="282">
        <v>6</v>
      </c>
      <c r="AW139" s="1">
        <v>3</v>
      </c>
    </row>
    <row r="140" spans="44:49">
      <c r="AR140" s="281" t="s">
        <v>173</v>
      </c>
      <c r="AS140" s="275">
        <v>1</v>
      </c>
      <c r="AT140" s="275">
        <v>3</v>
      </c>
      <c r="AU140" s="275">
        <v>3</v>
      </c>
      <c r="AV140" s="282">
        <v>1</v>
      </c>
      <c r="AW140" s="1">
        <v>3</v>
      </c>
    </row>
    <row r="141" spans="44:49">
      <c r="AR141" s="281" t="s">
        <v>174</v>
      </c>
      <c r="AS141" s="275">
        <v>1</v>
      </c>
      <c r="AT141" s="275">
        <v>4</v>
      </c>
      <c r="AU141" s="275">
        <v>3</v>
      </c>
      <c r="AV141" s="282">
        <v>2</v>
      </c>
      <c r="AW141" s="1">
        <v>3</v>
      </c>
    </row>
    <row r="142" spans="44:49">
      <c r="AR142" s="281" t="s">
        <v>175</v>
      </c>
      <c r="AS142" s="275">
        <v>1</v>
      </c>
      <c r="AT142" s="275">
        <v>5</v>
      </c>
      <c r="AU142" s="275">
        <v>3</v>
      </c>
      <c r="AV142" s="282">
        <v>3</v>
      </c>
      <c r="AW142" s="1">
        <v>3</v>
      </c>
    </row>
    <row r="143" spans="44:49">
      <c r="AR143" s="283" t="s">
        <v>176</v>
      </c>
      <c r="AS143" s="276">
        <v>1</v>
      </c>
      <c r="AT143" s="276">
        <v>6</v>
      </c>
      <c r="AU143" s="276">
        <v>3</v>
      </c>
      <c r="AV143" s="284">
        <v>4</v>
      </c>
      <c r="AW143" s="1">
        <v>3</v>
      </c>
    </row>
    <row r="144" spans="44:49">
      <c r="AR144" s="285" t="s">
        <v>177</v>
      </c>
      <c r="AS144" s="274">
        <v>1</v>
      </c>
      <c r="AT144" s="274">
        <v>1</v>
      </c>
      <c r="AU144" s="274">
        <v>2</v>
      </c>
      <c r="AV144" s="286">
        <v>3</v>
      </c>
      <c r="AW144" s="1">
        <v>3</v>
      </c>
    </row>
    <row r="145" spans="44:49">
      <c r="AR145" s="281" t="s">
        <v>178</v>
      </c>
      <c r="AS145" s="275">
        <v>1</v>
      </c>
      <c r="AT145" s="275">
        <v>2</v>
      </c>
      <c r="AU145" s="275">
        <v>2</v>
      </c>
      <c r="AV145" s="282">
        <v>4</v>
      </c>
      <c r="AW145" s="1">
        <v>3</v>
      </c>
    </row>
    <row r="146" spans="44:49">
      <c r="AR146" s="281" t="s">
        <v>179</v>
      </c>
      <c r="AS146" s="275">
        <v>1</v>
      </c>
      <c r="AT146" s="275">
        <v>3</v>
      </c>
      <c r="AU146" s="275">
        <v>2</v>
      </c>
      <c r="AV146" s="282">
        <v>5</v>
      </c>
      <c r="AW146" s="1">
        <v>3</v>
      </c>
    </row>
    <row r="147" spans="44:49">
      <c r="AR147" s="281" t="s">
        <v>180</v>
      </c>
      <c r="AS147" s="275">
        <v>1</v>
      </c>
      <c r="AT147" s="275">
        <v>4</v>
      </c>
      <c r="AU147" s="275">
        <v>2</v>
      </c>
      <c r="AV147" s="282">
        <v>6</v>
      </c>
      <c r="AW147" s="1">
        <v>3</v>
      </c>
    </row>
    <row r="148" spans="44:49">
      <c r="AR148" s="281" t="s">
        <v>181</v>
      </c>
      <c r="AS148" s="275">
        <v>1</v>
      </c>
      <c r="AT148" s="275">
        <v>5</v>
      </c>
      <c r="AU148" s="275">
        <v>2</v>
      </c>
      <c r="AV148" s="282">
        <v>1</v>
      </c>
      <c r="AW148" s="1">
        <v>3</v>
      </c>
    </row>
    <row r="149" spans="44:49" ht="16.8" thickBot="1">
      <c r="AR149" s="287" t="s">
        <v>182</v>
      </c>
      <c r="AS149" s="288">
        <v>1</v>
      </c>
      <c r="AT149" s="288">
        <v>6</v>
      </c>
      <c r="AU149" s="288">
        <v>2</v>
      </c>
      <c r="AV149" s="289">
        <v>2</v>
      </c>
      <c r="AW149" s="1">
        <v>3</v>
      </c>
    </row>
    <row r="150" spans="44:49">
      <c r="AR150" s="278" t="s">
        <v>183</v>
      </c>
      <c r="AS150" s="279">
        <v>2</v>
      </c>
      <c r="AT150" s="279">
        <v>1</v>
      </c>
      <c r="AU150" s="279">
        <v>3</v>
      </c>
      <c r="AV150" s="280">
        <v>1</v>
      </c>
      <c r="AW150" s="1">
        <v>1</v>
      </c>
    </row>
    <row r="151" spans="44:49">
      <c r="AR151" s="281" t="s">
        <v>184</v>
      </c>
      <c r="AS151" s="275">
        <v>2</v>
      </c>
      <c r="AT151" s="275">
        <v>2</v>
      </c>
      <c r="AU151" s="275">
        <v>3</v>
      </c>
      <c r="AV151" s="282">
        <v>2</v>
      </c>
      <c r="AW151" s="1">
        <v>1</v>
      </c>
    </row>
    <row r="152" spans="44:49">
      <c r="AR152" s="281" t="s">
        <v>185</v>
      </c>
      <c r="AS152" s="275">
        <v>2</v>
      </c>
      <c r="AT152" s="275">
        <v>3</v>
      </c>
      <c r="AU152" s="275">
        <v>3</v>
      </c>
      <c r="AV152" s="282">
        <v>3</v>
      </c>
      <c r="AW152" s="1">
        <v>1</v>
      </c>
    </row>
    <row r="153" spans="44:49">
      <c r="AR153" s="281" t="s">
        <v>186</v>
      </c>
      <c r="AS153" s="275">
        <v>2</v>
      </c>
      <c r="AT153" s="275">
        <v>4</v>
      </c>
      <c r="AU153" s="275">
        <v>3</v>
      </c>
      <c r="AV153" s="282">
        <v>4</v>
      </c>
      <c r="AW153" s="1">
        <v>1</v>
      </c>
    </row>
    <row r="154" spans="44:49">
      <c r="AR154" s="281" t="s">
        <v>187</v>
      </c>
      <c r="AS154" s="275">
        <v>2</v>
      </c>
      <c r="AT154" s="275">
        <v>5</v>
      </c>
      <c r="AU154" s="275">
        <v>3</v>
      </c>
      <c r="AV154" s="282">
        <v>5</v>
      </c>
      <c r="AW154" s="1">
        <v>1</v>
      </c>
    </row>
    <row r="155" spans="44:49">
      <c r="AR155" s="281" t="s">
        <v>188</v>
      </c>
      <c r="AS155" s="275">
        <v>2</v>
      </c>
      <c r="AT155" s="275">
        <v>6</v>
      </c>
      <c r="AU155" s="275">
        <v>3</v>
      </c>
      <c r="AV155" s="282">
        <v>6</v>
      </c>
      <c r="AW155" s="1">
        <v>1</v>
      </c>
    </row>
    <row r="156" spans="44:49">
      <c r="AR156" s="295" t="s">
        <v>189</v>
      </c>
      <c r="AS156" s="277">
        <v>2</v>
      </c>
      <c r="AT156" s="277">
        <v>7</v>
      </c>
      <c r="AU156" s="277">
        <v>3</v>
      </c>
      <c r="AV156" s="296">
        <v>7</v>
      </c>
      <c r="AW156" s="1">
        <v>1</v>
      </c>
    </row>
    <row r="157" spans="44:49">
      <c r="AR157" s="285" t="s">
        <v>190</v>
      </c>
      <c r="AS157" s="274">
        <v>1</v>
      </c>
      <c r="AT157" s="274">
        <v>1</v>
      </c>
      <c r="AU157" s="274">
        <v>3</v>
      </c>
      <c r="AV157" s="286">
        <v>1</v>
      </c>
      <c r="AW157" s="1">
        <v>1</v>
      </c>
    </row>
    <row r="158" spans="44:49">
      <c r="AR158" s="281" t="s">
        <v>191</v>
      </c>
      <c r="AS158" s="275">
        <v>1</v>
      </c>
      <c r="AT158" s="275">
        <v>2</v>
      </c>
      <c r="AU158" s="275">
        <v>3</v>
      </c>
      <c r="AV158" s="282">
        <v>2</v>
      </c>
      <c r="AW158" s="1">
        <v>1</v>
      </c>
    </row>
    <row r="159" spans="44:49">
      <c r="AR159" s="281" t="s">
        <v>192</v>
      </c>
      <c r="AS159" s="275">
        <v>1</v>
      </c>
      <c r="AT159" s="275">
        <v>3</v>
      </c>
      <c r="AU159" s="275">
        <v>3</v>
      </c>
      <c r="AV159" s="282">
        <v>3</v>
      </c>
      <c r="AW159" s="1">
        <v>1</v>
      </c>
    </row>
    <row r="160" spans="44:49">
      <c r="AR160" s="281" t="s">
        <v>193</v>
      </c>
      <c r="AS160" s="275">
        <v>1</v>
      </c>
      <c r="AT160" s="275">
        <v>4</v>
      </c>
      <c r="AU160" s="275">
        <v>3</v>
      </c>
      <c r="AV160" s="282">
        <v>4</v>
      </c>
      <c r="AW160" s="1">
        <v>1</v>
      </c>
    </row>
    <row r="161" spans="44:49">
      <c r="AR161" s="281" t="s">
        <v>194</v>
      </c>
      <c r="AS161" s="275">
        <v>1</v>
      </c>
      <c r="AT161" s="275">
        <v>5</v>
      </c>
      <c r="AU161" s="275">
        <v>3</v>
      </c>
      <c r="AV161" s="282">
        <v>5</v>
      </c>
      <c r="AW161" s="1">
        <v>1</v>
      </c>
    </row>
    <row r="162" spans="44:49">
      <c r="AR162" s="281" t="s">
        <v>195</v>
      </c>
      <c r="AS162" s="275">
        <v>1</v>
      </c>
      <c r="AT162" s="275">
        <v>6</v>
      </c>
      <c r="AU162" s="275">
        <v>3</v>
      </c>
      <c r="AV162" s="282">
        <v>6</v>
      </c>
      <c r="AW162" s="1">
        <v>1</v>
      </c>
    </row>
    <row r="163" spans="44:49">
      <c r="AR163" s="283" t="s">
        <v>196</v>
      </c>
      <c r="AS163" s="276">
        <v>1</v>
      </c>
      <c r="AT163" s="276">
        <v>7</v>
      </c>
      <c r="AU163" s="276">
        <v>3</v>
      </c>
      <c r="AV163" s="284">
        <v>7</v>
      </c>
      <c r="AW163" s="1">
        <v>1</v>
      </c>
    </row>
    <row r="164" spans="44:49">
      <c r="AR164" s="285" t="s">
        <v>197</v>
      </c>
      <c r="AS164" s="274">
        <v>1</v>
      </c>
      <c r="AT164" s="274">
        <v>1</v>
      </c>
      <c r="AU164" s="274">
        <v>2</v>
      </c>
      <c r="AV164" s="286">
        <v>1</v>
      </c>
      <c r="AW164" s="1">
        <v>1</v>
      </c>
    </row>
    <row r="165" spans="44:49">
      <c r="AR165" s="281" t="s">
        <v>198</v>
      </c>
      <c r="AS165" s="275">
        <v>1</v>
      </c>
      <c r="AT165" s="275">
        <v>2</v>
      </c>
      <c r="AU165" s="275">
        <v>2</v>
      </c>
      <c r="AV165" s="282">
        <v>2</v>
      </c>
      <c r="AW165" s="1">
        <v>1</v>
      </c>
    </row>
    <row r="166" spans="44:49">
      <c r="AR166" s="281" t="s">
        <v>199</v>
      </c>
      <c r="AS166" s="275">
        <v>1</v>
      </c>
      <c r="AT166" s="275">
        <v>3</v>
      </c>
      <c r="AU166" s="275">
        <v>2</v>
      </c>
      <c r="AV166" s="282">
        <v>3</v>
      </c>
      <c r="AW166" s="1">
        <v>1</v>
      </c>
    </row>
    <row r="167" spans="44:49">
      <c r="AR167" s="281" t="s">
        <v>200</v>
      </c>
      <c r="AS167" s="275">
        <v>1</v>
      </c>
      <c r="AT167" s="275">
        <v>4</v>
      </c>
      <c r="AU167" s="275">
        <v>2</v>
      </c>
      <c r="AV167" s="282">
        <v>4</v>
      </c>
      <c r="AW167" s="1">
        <v>1</v>
      </c>
    </row>
    <row r="168" spans="44:49">
      <c r="AR168" s="281" t="s">
        <v>201</v>
      </c>
      <c r="AS168" s="275">
        <v>1</v>
      </c>
      <c r="AT168" s="275">
        <v>5</v>
      </c>
      <c r="AU168" s="275">
        <v>2</v>
      </c>
      <c r="AV168" s="282">
        <v>5</v>
      </c>
      <c r="AW168" s="1">
        <v>1</v>
      </c>
    </row>
    <row r="169" spans="44:49">
      <c r="AR169" s="281" t="s">
        <v>202</v>
      </c>
      <c r="AS169" s="275">
        <v>1</v>
      </c>
      <c r="AT169" s="275">
        <v>6</v>
      </c>
      <c r="AU169" s="275">
        <v>2</v>
      </c>
      <c r="AV169" s="282">
        <v>6</v>
      </c>
      <c r="AW169" s="1">
        <v>1</v>
      </c>
    </row>
    <row r="170" spans="44:49" ht="16.8" thickBot="1">
      <c r="AR170" s="287" t="s">
        <v>203</v>
      </c>
      <c r="AS170" s="288">
        <v>1</v>
      </c>
      <c r="AT170" s="288">
        <v>7</v>
      </c>
      <c r="AU170" s="288">
        <v>2</v>
      </c>
      <c r="AV170" s="289">
        <v>7</v>
      </c>
      <c r="AW170" s="1">
        <v>1</v>
      </c>
    </row>
    <row r="171" spans="44:49">
      <c r="AR171" s="278" t="s">
        <v>204</v>
      </c>
      <c r="AS171" s="279">
        <v>2</v>
      </c>
      <c r="AT171" s="279">
        <v>2</v>
      </c>
      <c r="AU171" s="279">
        <v>3</v>
      </c>
      <c r="AV171" s="280">
        <v>3</v>
      </c>
      <c r="AW171" s="1">
        <v>2</v>
      </c>
    </row>
    <row r="172" spans="44:49">
      <c r="AR172" s="281" t="s">
        <v>205</v>
      </c>
      <c r="AS172" s="275">
        <v>2</v>
      </c>
      <c r="AT172" s="275">
        <v>3</v>
      </c>
      <c r="AU172" s="275">
        <v>3</v>
      </c>
      <c r="AV172" s="282">
        <v>4</v>
      </c>
      <c r="AW172" s="1">
        <v>2</v>
      </c>
    </row>
    <row r="173" spans="44:49">
      <c r="AR173" s="281" t="s">
        <v>206</v>
      </c>
      <c r="AS173" s="275">
        <v>2</v>
      </c>
      <c r="AT173" s="275">
        <v>4</v>
      </c>
      <c r="AU173" s="275">
        <v>3</v>
      </c>
      <c r="AV173" s="282">
        <v>5</v>
      </c>
      <c r="AW173" s="1">
        <v>2</v>
      </c>
    </row>
    <row r="174" spans="44:49">
      <c r="AR174" s="281" t="s">
        <v>207</v>
      </c>
      <c r="AS174" s="275">
        <v>2</v>
      </c>
      <c r="AT174" s="275">
        <v>5</v>
      </c>
      <c r="AU174" s="275">
        <v>3</v>
      </c>
      <c r="AV174" s="282">
        <v>6</v>
      </c>
      <c r="AW174" s="1">
        <v>2</v>
      </c>
    </row>
    <row r="175" spans="44:49">
      <c r="AR175" s="281" t="s">
        <v>208</v>
      </c>
      <c r="AS175" s="275">
        <v>2</v>
      </c>
      <c r="AT175" s="275">
        <v>6</v>
      </c>
      <c r="AU175" s="275">
        <v>3</v>
      </c>
      <c r="AV175" s="282">
        <v>7</v>
      </c>
      <c r="AW175" s="1">
        <v>2</v>
      </c>
    </row>
    <row r="176" spans="44:49">
      <c r="AR176" s="281" t="s">
        <v>209</v>
      </c>
      <c r="AS176" s="275">
        <v>2</v>
      </c>
      <c r="AT176" s="275">
        <v>7</v>
      </c>
      <c r="AU176" s="275">
        <v>3</v>
      </c>
      <c r="AV176" s="282">
        <v>1</v>
      </c>
      <c r="AW176" s="1">
        <v>2</v>
      </c>
    </row>
    <row r="177" spans="44:49">
      <c r="AR177" s="295" t="s">
        <v>210</v>
      </c>
      <c r="AS177" s="277">
        <v>2</v>
      </c>
      <c r="AT177" s="277">
        <v>1</v>
      </c>
      <c r="AU177" s="277">
        <v>3</v>
      </c>
      <c r="AV177" s="296">
        <v>2</v>
      </c>
      <c r="AW177" s="1">
        <v>2</v>
      </c>
    </row>
    <row r="178" spans="44:49">
      <c r="AR178" s="285" t="s">
        <v>211</v>
      </c>
      <c r="AS178" s="274">
        <v>1</v>
      </c>
      <c r="AT178" s="274">
        <v>1</v>
      </c>
      <c r="AU178" s="274">
        <v>3</v>
      </c>
      <c r="AV178" s="286">
        <v>3</v>
      </c>
      <c r="AW178" s="1">
        <v>2</v>
      </c>
    </row>
    <row r="179" spans="44:49">
      <c r="AR179" s="281" t="s">
        <v>212</v>
      </c>
      <c r="AS179" s="275">
        <v>1</v>
      </c>
      <c r="AT179" s="275">
        <v>2</v>
      </c>
      <c r="AU179" s="275">
        <v>3</v>
      </c>
      <c r="AV179" s="282">
        <v>4</v>
      </c>
      <c r="AW179" s="1">
        <v>2</v>
      </c>
    </row>
    <row r="180" spans="44:49">
      <c r="AR180" s="281" t="s">
        <v>213</v>
      </c>
      <c r="AS180" s="275">
        <v>1</v>
      </c>
      <c r="AT180" s="275">
        <v>3</v>
      </c>
      <c r="AU180" s="275">
        <v>3</v>
      </c>
      <c r="AV180" s="282">
        <v>5</v>
      </c>
      <c r="AW180" s="1">
        <v>2</v>
      </c>
    </row>
    <row r="181" spans="44:49">
      <c r="AR181" s="281" t="s">
        <v>214</v>
      </c>
      <c r="AS181" s="275">
        <v>1</v>
      </c>
      <c r="AT181" s="275">
        <v>4</v>
      </c>
      <c r="AU181" s="275">
        <v>3</v>
      </c>
      <c r="AV181" s="282">
        <v>6</v>
      </c>
      <c r="AW181" s="1">
        <v>2</v>
      </c>
    </row>
    <row r="182" spans="44:49">
      <c r="AR182" s="281" t="s">
        <v>215</v>
      </c>
      <c r="AS182" s="275">
        <v>1</v>
      </c>
      <c r="AT182" s="275">
        <v>5</v>
      </c>
      <c r="AU182" s="275">
        <v>3</v>
      </c>
      <c r="AV182" s="282">
        <v>7</v>
      </c>
      <c r="AW182" s="1">
        <v>2</v>
      </c>
    </row>
    <row r="183" spans="44:49">
      <c r="AR183" s="281" t="s">
        <v>216</v>
      </c>
      <c r="AS183" s="275">
        <v>1</v>
      </c>
      <c r="AT183" s="275">
        <v>6</v>
      </c>
      <c r="AU183" s="275">
        <v>3</v>
      </c>
      <c r="AV183" s="282">
        <v>1</v>
      </c>
      <c r="AW183" s="1">
        <v>2</v>
      </c>
    </row>
    <row r="184" spans="44:49">
      <c r="AR184" s="283" t="s">
        <v>217</v>
      </c>
      <c r="AS184" s="276">
        <v>1</v>
      </c>
      <c r="AT184" s="276">
        <v>7</v>
      </c>
      <c r="AU184" s="276">
        <v>3</v>
      </c>
      <c r="AV184" s="284">
        <v>2</v>
      </c>
      <c r="AW184" s="1">
        <v>2</v>
      </c>
    </row>
    <row r="185" spans="44:49">
      <c r="AR185" s="285" t="s">
        <v>218</v>
      </c>
      <c r="AS185" s="274">
        <v>1</v>
      </c>
      <c r="AT185" s="274">
        <v>1</v>
      </c>
      <c r="AU185" s="274">
        <v>2</v>
      </c>
      <c r="AV185" s="286">
        <v>2</v>
      </c>
      <c r="AW185" s="1">
        <v>2</v>
      </c>
    </row>
    <row r="186" spans="44:49">
      <c r="AR186" s="281" t="s">
        <v>219</v>
      </c>
      <c r="AS186" s="275">
        <v>1</v>
      </c>
      <c r="AT186" s="275">
        <v>2</v>
      </c>
      <c r="AU186" s="275">
        <v>2</v>
      </c>
      <c r="AV186" s="282">
        <v>3</v>
      </c>
      <c r="AW186" s="1">
        <v>2</v>
      </c>
    </row>
    <row r="187" spans="44:49">
      <c r="AR187" s="281" t="s">
        <v>220</v>
      </c>
      <c r="AS187" s="275">
        <v>1</v>
      </c>
      <c r="AT187" s="275">
        <v>3</v>
      </c>
      <c r="AU187" s="275">
        <v>2</v>
      </c>
      <c r="AV187" s="282">
        <v>4</v>
      </c>
      <c r="AW187" s="1">
        <v>2</v>
      </c>
    </row>
    <row r="188" spans="44:49">
      <c r="AR188" s="281" t="s">
        <v>221</v>
      </c>
      <c r="AS188" s="275">
        <v>1</v>
      </c>
      <c r="AT188" s="275">
        <v>4</v>
      </c>
      <c r="AU188" s="275">
        <v>2</v>
      </c>
      <c r="AV188" s="282">
        <v>5</v>
      </c>
      <c r="AW188" s="1">
        <v>2</v>
      </c>
    </row>
    <row r="189" spans="44:49">
      <c r="AR189" s="281" t="s">
        <v>222</v>
      </c>
      <c r="AS189" s="275">
        <v>1</v>
      </c>
      <c r="AT189" s="275">
        <v>5</v>
      </c>
      <c r="AU189" s="275">
        <v>2</v>
      </c>
      <c r="AV189" s="282">
        <v>6</v>
      </c>
      <c r="AW189" s="1">
        <v>2</v>
      </c>
    </row>
    <row r="190" spans="44:49">
      <c r="AR190" s="281" t="s">
        <v>223</v>
      </c>
      <c r="AS190" s="275">
        <v>1</v>
      </c>
      <c r="AT190" s="275">
        <v>6</v>
      </c>
      <c r="AU190" s="275">
        <v>2</v>
      </c>
      <c r="AV190" s="282">
        <v>7</v>
      </c>
      <c r="AW190" s="1">
        <v>2</v>
      </c>
    </row>
    <row r="191" spans="44:49" ht="16.8" thickBot="1">
      <c r="AR191" s="287" t="s">
        <v>224</v>
      </c>
      <c r="AS191" s="288">
        <v>1</v>
      </c>
      <c r="AT191" s="288">
        <v>7</v>
      </c>
      <c r="AU191" s="288">
        <v>2</v>
      </c>
      <c r="AV191" s="289">
        <v>1</v>
      </c>
      <c r="AW191" s="1">
        <v>2</v>
      </c>
    </row>
    <row r="192" spans="44:49">
      <c r="AR192" s="278" t="s">
        <v>225</v>
      </c>
      <c r="AS192" s="279">
        <v>2</v>
      </c>
      <c r="AT192" s="279">
        <v>3</v>
      </c>
      <c r="AU192" s="279">
        <v>3</v>
      </c>
      <c r="AV192" s="280">
        <v>5</v>
      </c>
      <c r="AW192" s="1">
        <v>3</v>
      </c>
    </row>
    <row r="193" spans="44:49">
      <c r="AR193" s="281" t="s">
        <v>226</v>
      </c>
      <c r="AS193" s="275">
        <v>2</v>
      </c>
      <c r="AT193" s="275">
        <v>4</v>
      </c>
      <c r="AU193" s="275">
        <v>3</v>
      </c>
      <c r="AV193" s="282">
        <v>6</v>
      </c>
      <c r="AW193" s="1">
        <v>3</v>
      </c>
    </row>
    <row r="194" spans="44:49">
      <c r="AR194" s="281" t="s">
        <v>227</v>
      </c>
      <c r="AS194" s="275">
        <v>2</v>
      </c>
      <c r="AT194" s="275">
        <v>5</v>
      </c>
      <c r="AU194" s="275">
        <v>3</v>
      </c>
      <c r="AV194" s="282">
        <v>7</v>
      </c>
      <c r="AW194" s="1">
        <v>3</v>
      </c>
    </row>
    <row r="195" spans="44:49">
      <c r="AR195" s="281" t="s">
        <v>228</v>
      </c>
      <c r="AS195" s="275">
        <v>2</v>
      </c>
      <c r="AT195" s="275">
        <v>6</v>
      </c>
      <c r="AU195" s="275">
        <v>3</v>
      </c>
      <c r="AV195" s="282">
        <v>1</v>
      </c>
      <c r="AW195" s="1">
        <v>3</v>
      </c>
    </row>
    <row r="196" spans="44:49">
      <c r="AR196" s="281" t="s">
        <v>229</v>
      </c>
      <c r="AS196" s="275">
        <v>2</v>
      </c>
      <c r="AT196" s="275">
        <v>7</v>
      </c>
      <c r="AU196" s="275">
        <v>3</v>
      </c>
      <c r="AV196" s="282">
        <v>2</v>
      </c>
      <c r="AW196" s="1">
        <v>3</v>
      </c>
    </row>
    <row r="197" spans="44:49">
      <c r="AR197" s="281" t="s">
        <v>230</v>
      </c>
      <c r="AS197" s="275">
        <v>2</v>
      </c>
      <c r="AT197" s="275">
        <v>1</v>
      </c>
      <c r="AU197" s="275">
        <v>3</v>
      </c>
      <c r="AV197" s="282">
        <v>3</v>
      </c>
      <c r="AW197" s="1">
        <v>3</v>
      </c>
    </row>
    <row r="198" spans="44:49">
      <c r="AR198" s="295" t="s">
        <v>231</v>
      </c>
      <c r="AS198" s="277">
        <v>2</v>
      </c>
      <c r="AT198" s="277">
        <v>2</v>
      </c>
      <c r="AU198" s="277">
        <v>3</v>
      </c>
      <c r="AV198" s="296">
        <v>4</v>
      </c>
      <c r="AW198" s="1">
        <v>3</v>
      </c>
    </row>
    <row r="199" spans="44:49">
      <c r="AR199" s="285" t="s">
        <v>232</v>
      </c>
      <c r="AS199" s="274">
        <v>1</v>
      </c>
      <c r="AT199" s="274">
        <v>1</v>
      </c>
      <c r="AU199" s="274">
        <v>3</v>
      </c>
      <c r="AV199" s="286">
        <v>5</v>
      </c>
      <c r="AW199" s="1">
        <v>3</v>
      </c>
    </row>
    <row r="200" spans="44:49">
      <c r="AR200" s="281" t="s">
        <v>233</v>
      </c>
      <c r="AS200" s="275">
        <v>1</v>
      </c>
      <c r="AT200" s="275">
        <v>2</v>
      </c>
      <c r="AU200" s="275">
        <v>3</v>
      </c>
      <c r="AV200" s="282">
        <v>6</v>
      </c>
      <c r="AW200" s="1">
        <v>3</v>
      </c>
    </row>
    <row r="201" spans="44:49">
      <c r="AR201" s="281" t="s">
        <v>234</v>
      </c>
      <c r="AS201" s="275">
        <v>1</v>
      </c>
      <c r="AT201" s="275">
        <v>3</v>
      </c>
      <c r="AU201" s="275">
        <v>3</v>
      </c>
      <c r="AV201" s="282">
        <v>7</v>
      </c>
      <c r="AW201" s="1">
        <v>3</v>
      </c>
    </row>
    <row r="202" spans="44:49">
      <c r="AR202" s="281" t="s">
        <v>235</v>
      </c>
      <c r="AS202" s="275">
        <v>1</v>
      </c>
      <c r="AT202" s="275">
        <v>4</v>
      </c>
      <c r="AU202" s="275">
        <v>3</v>
      </c>
      <c r="AV202" s="282">
        <v>1</v>
      </c>
      <c r="AW202" s="1">
        <v>3</v>
      </c>
    </row>
    <row r="203" spans="44:49">
      <c r="AR203" s="281" t="s">
        <v>236</v>
      </c>
      <c r="AS203" s="275">
        <v>1</v>
      </c>
      <c r="AT203" s="275">
        <v>5</v>
      </c>
      <c r="AU203" s="275">
        <v>3</v>
      </c>
      <c r="AV203" s="282">
        <v>2</v>
      </c>
      <c r="AW203" s="1">
        <v>3</v>
      </c>
    </row>
    <row r="204" spans="44:49">
      <c r="AR204" s="281" t="s">
        <v>237</v>
      </c>
      <c r="AS204" s="275">
        <v>1</v>
      </c>
      <c r="AT204" s="275">
        <v>6</v>
      </c>
      <c r="AU204" s="275">
        <v>3</v>
      </c>
      <c r="AV204" s="282">
        <v>3</v>
      </c>
      <c r="AW204" s="1">
        <v>3</v>
      </c>
    </row>
    <row r="205" spans="44:49">
      <c r="AR205" s="283" t="s">
        <v>238</v>
      </c>
      <c r="AS205" s="276">
        <v>1</v>
      </c>
      <c r="AT205" s="276">
        <v>7</v>
      </c>
      <c r="AU205" s="276">
        <v>3</v>
      </c>
      <c r="AV205" s="284">
        <v>4</v>
      </c>
      <c r="AW205" s="1">
        <v>3</v>
      </c>
    </row>
    <row r="206" spans="44:49">
      <c r="AR206" s="285" t="s">
        <v>239</v>
      </c>
      <c r="AS206" s="274">
        <v>1</v>
      </c>
      <c r="AT206" s="274">
        <v>1</v>
      </c>
      <c r="AU206" s="274">
        <v>2</v>
      </c>
      <c r="AV206" s="286">
        <v>3</v>
      </c>
      <c r="AW206" s="1">
        <v>3</v>
      </c>
    </row>
    <row r="207" spans="44:49">
      <c r="AR207" s="281" t="s">
        <v>240</v>
      </c>
      <c r="AS207" s="275">
        <v>1</v>
      </c>
      <c r="AT207" s="275">
        <v>2</v>
      </c>
      <c r="AU207" s="275">
        <v>2</v>
      </c>
      <c r="AV207" s="282">
        <v>4</v>
      </c>
      <c r="AW207" s="1">
        <v>3</v>
      </c>
    </row>
    <row r="208" spans="44:49">
      <c r="AR208" s="281" t="s">
        <v>241</v>
      </c>
      <c r="AS208" s="275">
        <v>1</v>
      </c>
      <c r="AT208" s="275">
        <v>3</v>
      </c>
      <c r="AU208" s="275">
        <v>2</v>
      </c>
      <c r="AV208" s="282">
        <v>5</v>
      </c>
      <c r="AW208" s="1">
        <v>3</v>
      </c>
    </row>
    <row r="209" spans="44:49">
      <c r="AR209" s="281" t="s">
        <v>242</v>
      </c>
      <c r="AS209" s="275">
        <v>1</v>
      </c>
      <c r="AT209" s="275">
        <v>4</v>
      </c>
      <c r="AU209" s="275">
        <v>2</v>
      </c>
      <c r="AV209" s="282">
        <v>6</v>
      </c>
      <c r="AW209" s="1">
        <v>3</v>
      </c>
    </row>
    <row r="210" spans="44:49">
      <c r="AR210" s="281" t="s">
        <v>243</v>
      </c>
      <c r="AS210" s="275">
        <v>1</v>
      </c>
      <c r="AT210" s="275">
        <v>5</v>
      </c>
      <c r="AU210" s="275">
        <v>2</v>
      </c>
      <c r="AV210" s="282">
        <v>7</v>
      </c>
      <c r="AW210" s="1">
        <v>3</v>
      </c>
    </row>
    <row r="211" spans="44:49">
      <c r="AR211" s="281" t="s">
        <v>244</v>
      </c>
      <c r="AS211" s="275">
        <v>1</v>
      </c>
      <c r="AT211" s="275">
        <v>6</v>
      </c>
      <c r="AU211" s="275">
        <v>2</v>
      </c>
      <c r="AV211" s="282">
        <v>1</v>
      </c>
      <c r="AW211" s="1">
        <v>3</v>
      </c>
    </row>
    <row r="212" spans="44:49" ht="16.8" thickBot="1">
      <c r="AR212" s="287" t="s">
        <v>245</v>
      </c>
      <c r="AS212" s="288">
        <v>1</v>
      </c>
      <c r="AT212" s="288">
        <v>7</v>
      </c>
      <c r="AU212" s="288">
        <v>2</v>
      </c>
      <c r="AV212" s="289">
        <v>2</v>
      </c>
      <c r="AW212" s="1">
        <v>3</v>
      </c>
    </row>
    <row r="213" spans="44:49">
      <c r="AR213" s="278" t="s">
        <v>80</v>
      </c>
      <c r="AS213" s="279">
        <v>2</v>
      </c>
      <c r="AT213" s="279">
        <v>1</v>
      </c>
      <c r="AU213" s="279">
        <v>3</v>
      </c>
      <c r="AV213" s="280">
        <v>1</v>
      </c>
      <c r="AW213" s="1">
        <v>1</v>
      </c>
    </row>
    <row r="214" spans="44:49">
      <c r="AR214" s="281" t="s">
        <v>246</v>
      </c>
      <c r="AS214" s="275">
        <v>2</v>
      </c>
      <c r="AT214" s="275">
        <v>2</v>
      </c>
      <c r="AU214" s="275">
        <v>3</v>
      </c>
      <c r="AV214" s="282">
        <v>2</v>
      </c>
      <c r="AW214" s="1">
        <v>1</v>
      </c>
    </row>
    <row r="215" spans="44:49">
      <c r="AR215" s="281" t="s">
        <v>247</v>
      </c>
      <c r="AS215" s="275">
        <v>2</v>
      </c>
      <c r="AT215" s="275">
        <v>3</v>
      </c>
      <c r="AU215" s="275">
        <v>3</v>
      </c>
      <c r="AV215" s="282">
        <v>3</v>
      </c>
      <c r="AW215" s="1">
        <v>1</v>
      </c>
    </row>
    <row r="216" spans="44:49">
      <c r="AR216" s="281" t="s">
        <v>248</v>
      </c>
      <c r="AS216" s="275">
        <v>2</v>
      </c>
      <c r="AT216" s="275">
        <v>4</v>
      </c>
      <c r="AU216" s="275">
        <v>3</v>
      </c>
      <c r="AV216" s="282">
        <v>4</v>
      </c>
      <c r="AW216" s="1">
        <v>1</v>
      </c>
    </row>
    <row r="217" spans="44:49">
      <c r="AR217" s="281" t="s">
        <v>249</v>
      </c>
      <c r="AS217" s="275">
        <v>2</v>
      </c>
      <c r="AT217" s="275">
        <v>5</v>
      </c>
      <c r="AU217" s="275">
        <v>3</v>
      </c>
      <c r="AV217" s="282">
        <v>5</v>
      </c>
      <c r="AW217" s="1">
        <v>1</v>
      </c>
    </row>
    <row r="218" spans="44:49">
      <c r="AR218" s="281" t="s">
        <v>250</v>
      </c>
      <c r="AS218" s="275">
        <v>2</v>
      </c>
      <c r="AT218" s="275">
        <v>6</v>
      </c>
      <c r="AU218" s="275">
        <v>3</v>
      </c>
      <c r="AV218" s="282">
        <v>6</v>
      </c>
      <c r="AW218" s="1">
        <v>1</v>
      </c>
    </row>
    <row r="219" spans="44:49">
      <c r="AR219" s="281" t="s">
        <v>251</v>
      </c>
      <c r="AS219" s="275">
        <v>2</v>
      </c>
      <c r="AT219" s="275">
        <v>7</v>
      </c>
      <c r="AU219" s="275">
        <v>3</v>
      </c>
      <c r="AV219" s="282">
        <v>7</v>
      </c>
      <c r="AW219" s="1">
        <v>1</v>
      </c>
    </row>
    <row r="220" spans="44:49">
      <c r="AR220" s="283" t="s">
        <v>252</v>
      </c>
      <c r="AS220" s="276">
        <v>2</v>
      </c>
      <c r="AT220" s="276">
        <v>8</v>
      </c>
      <c r="AU220" s="276">
        <v>3</v>
      </c>
      <c r="AV220" s="284">
        <v>8</v>
      </c>
      <c r="AW220" s="1">
        <v>1</v>
      </c>
    </row>
    <row r="221" spans="44:49">
      <c r="AR221" s="285" t="s">
        <v>253</v>
      </c>
      <c r="AS221" s="274">
        <v>1</v>
      </c>
      <c r="AT221" s="274">
        <v>1</v>
      </c>
      <c r="AU221" s="274">
        <v>3</v>
      </c>
      <c r="AV221" s="286">
        <v>1</v>
      </c>
      <c r="AW221" s="1">
        <v>1</v>
      </c>
    </row>
    <row r="222" spans="44:49">
      <c r="AR222" s="281" t="s">
        <v>254</v>
      </c>
      <c r="AS222" s="275">
        <v>1</v>
      </c>
      <c r="AT222" s="275">
        <v>2</v>
      </c>
      <c r="AU222" s="275">
        <v>3</v>
      </c>
      <c r="AV222" s="282">
        <v>2</v>
      </c>
      <c r="AW222" s="1">
        <v>1</v>
      </c>
    </row>
    <row r="223" spans="44:49">
      <c r="AR223" s="281" t="s">
        <v>255</v>
      </c>
      <c r="AS223" s="275">
        <v>1</v>
      </c>
      <c r="AT223" s="275">
        <v>3</v>
      </c>
      <c r="AU223" s="275">
        <v>3</v>
      </c>
      <c r="AV223" s="282">
        <v>3</v>
      </c>
      <c r="AW223" s="1">
        <v>1</v>
      </c>
    </row>
    <row r="224" spans="44:49">
      <c r="AR224" s="281" t="s">
        <v>256</v>
      </c>
      <c r="AS224" s="275">
        <v>1</v>
      </c>
      <c r="AT224" s="275">
        <v>4</v>
      </c>
      <c r="AU224" s="275">
        <v>3</v>
      </c>
      <c r="AV224" s="282">
        <v>4</v>
      </c>
      <c r="AW224" s="1">
        <v>1</v>
      </c>
    </row>
    <row r="225" spans="44:49">
      <c r="AR225" s="281" t="s">
        <v>257</v>
      </c>
      <c r="AS225" s="275">
        <v>1</v>
      </c>
      <c r="AT225" s="275">
        <v>5</v>
      </c>
      <c r="AU225" s="275">
        <v>3</v>
      </c>
      <c r="AV225" s="282">
        <v>5</v>
      </c>
      <c r="AW225" s="1">
        <v>1</v>
      </c>
    </row>
    <row r="226" spans="44:49">
      <c r="AR226" s="281" t="s">
        <v>258</v>
      </c>
      <c r="AS226" s="275">
        <v>1</v>
      </c>
      <c r="AT226" s="275">
        <v>6</v>
      </c>
      <c r="AU226" s="275">
        <v>3</v>
      </c>
      <c r="AV226" s="282">
        <v>6</v>
      </c>
      <c r="AW226" s="1">
        <v>1</v>
      </c>
    </row>
    <row r="227" spans="44:49">
      <c r="AR227" s="281" t="s">
        <v>259</v>
      </c>
      <c r="AS227" s="275">
        <v>1</v>
      </c>
      <c r="AT227" s="275">
        <v>7</v>
      </c>
      <c r="AU227" s="275">
        <v>3</v>
      </c>
      <c r="AV227" s="282">
        <v>7</v>
      </c>
      <c r="AW227" s="1">
        <v>1</v>
      </c>
    </row>
    <row r="228" spans="44:49">
      <c r="AR228" s="283" t="s">
        <v>260</v>
      </c>
      <c r="AS228" s="276">
        <v>1</v>
      </c>
      <c r="AT228" s="276">
        <v>8</v>
      </c>
      <c r="AU228" s="276">
        <v>3</v>
      </c>
      <c r="AV228" s="284">
        <v>8</v>
      </c>
      <c r="AW228" s="1">
        <v>1</v>
      </c>
    </row>
    <row r="229" spans="44:49">
      <c r="AR229" s="285" t="s">
        <v>261</v>
      </c>
      <c r="AS229" s="274">
        <v>1</v>
      </c>
      <c r="AT229" s="274">
        <v>1</v>
      </c>
      <c r="AU229" s="274">
        <v>2</v>
      </c>
      <c r="AV229" s="286">
        <v>1</v>
      </c>
      <c r="AW229" s="1">
        <v>1</v>
      </c>
    </row>
    <row r="230" spans="44:49">
      <c r="AR230" s="281" t="s">
        <v>262</v>
      </c>
      <c r="AS230" s="275">
        <v>1</v>
      </c>
      <c r="AT230" s="275">
        <v>2</v>
      </c>
      <c r="AU230" s="275">
        <v>2</v>
      </c>
      <c r="AV230" s="282">
        <v>2</v>
      </c>
      <c r="AW230" s="1">
        <v>1</v>
      </c>
    </row>
    <row r="231" spans="44:49">
      <c r="AR231" s="281" t="s">
        <v>263</v>
      </c>
      <c r="AS231" s="275">
        <v>1</v>
      </c>
      <c r="AT231" s="275">
        <v>3</v>
      </c>
      <c r="AU231" s="275">
        <v>2</v>
      </c>
      <c r="AV231" s="282">
        <v>3</v>
      </c>
      <c r="AW231" s="1">
        <v>1</v>
      </c>
    </row>
    <row r="232" spans="44:49">
      <c r="AR232" s="281" t="s">
        <v>264</v>
      </c>
      <c r="AS232" s="275">
        <v>1</v>
      </c>
      <c r="AT232" s="275">
        <v>4</v>
      </c>
      <c r="AU232" s="275">
        <v>2</v>
      </c>
      <c r="AV232" s="282">
        <v>4</v>
      </c>
      <c r="AW232" s="1">
        <v>1</v>
      </c>
    </row>
    <row r="233" spans="44:49">
      <c r="AR233" s="281" t="s">
        <v>265</v>
      </c>
      <c r="AS233" s="275">
        <v>1</v>
      </c>
      <c r="AT233" s="275">
        <v>5</v>
      </c>
      <c r="AU233" s="275">
        <v>2</v>
      </c>
      <c r="AV233" s="282">
        <v>5</v>
      </c>
      <c r="AW233" s="1">
        <v>1</v>
      </c>
    </row>
    <row r="234" spans="44:49">
      <c r="AR234" s="281" t="s">
        <v>266</v>
      </c>
      <c r="AS234" s="275">
        <v>1</v>
      </c>
      <c r="AT234" s="275">
        <v>6</v>
      </c>
      <c r="AU234" s="275">
        <v>2</v>
      </c>
      <c r="AV234" s="282">
        <v>6</v>
      </c>
      <c r="AW234" s="1">
        <v>1</v>
      </c>
    </row>
    <row r="235" spans="44:49">
      <c r="AR235" s="281" t="s">
        <v>267</v>
      </c>
      <c r="AS235" s="275">
        <v>1</v>
      </c>
      <c r="AT235" s="275">
        <v>7</v>
      </c>
      <c r="AU235" s="275">
        <v>2</v>
      </c>
      <c r="AV235" s="282">
        <v>7</v>
      </c>
      <c r="AW235" s="1">
        <v>1</v>
      </c>
    </row>
    <row r="236" spans="44:49" ht="16.8" thickBot="1">
      <c r="AR236" s="287" t="s">
        <v>268</v>
      </c>
      <c r="AS236" s="288">
        <v>1</v>
      </c>
      <c r="AT236" s="288">
        <v>8</v>
      </c>
      <c r="AU236" s="288">
        <v>2</v>
      </c>
      <c r="AV236" s="289">
        <v>8</v>
      </c>
      <c r="AW236" s="1">
        <v>1</v>
      </c>
    </row>
    <row r="237" spans="44:49">
      <c r="AR237" s="278" t="s">
        <v>269</v>
      </c>
      <c r="AS237" s="279">
        <v>2</v>
      </c>
      <c r="AT237" s="279">
        <v>2</v>
      </c>
      <c r="AU237" s="279">
        <v>3</v>
      </c>
      <c r="AV237" s="280">
        <v>3</v>
      </c>
      <c r="AW237" s="1">
        <v>2</v>
      </c>
    </row>
    <row r="238" spans="44:49">
      <c r="AR238" s="281" t="s">
        <v>270</v>
      </c>
      <c r="AS238" s="275">
        <v>2</v>
      </c>
      <c r="AT238" s="275">
        <v>3</v>
      </c>
      <c r="AU238" s="275">
        <v>3</v>
      </c>
      <c r="AV238" s="282">
        <v>4</v>
      </c>
      <c r="AW238" s="1">
        <v>2</v>
      </c>
    </row>
    <row r="239" spans="44:49">
      <c r="AR239" s="281" t="s">
        <v>271</v>
      </c>
      <c r="AS239" s="275">
        <v>2</v>
      </c>
      <c r="AT239" s="275">
        <v>4</v>
      </c>
      <c r="AU239" s="275">
        <v>3</v>
      </c>
      <c r="AV239" s="282">
        <v>5</v>
      </c>
      <c r="AW239" s="1">
        <v>2</v>
      </c>
    </row>
    <row r="240" spans="44:49">
      <c r="AR240" s="281" t="s">
        <v>272</v>
      </c>
      <c r="AS240" s="275">
        <v>2</v>
      </c>
      <c r="AT240" s="275">
        <v>5</v>
      </c>
      <c r="AU240" s="275">
        <v>3</v>
      </c>
      <c r="AV240" s="282">
        <v>6</v>
      </c>
      <c r="AW240" s="1">
        <v>2</v>
      </c>
    </row>
    <row r="241" spans="44:49">
      <c r="AR241" s="281" t="s">
        <v>273</v>
      </c>
      <c r="AS241" s="275">
        <v>2</v>
      </c>
      <c r="AT241" s="275">
        <v>6</v>
      </c>
      <c r="AU241" s="275">
        <v>3</v>
      </c>
      <c r="AV241" s="282">
        <v>7</v>
      </c>
      <c r="AW241" s="1">
        <v>2</v>
      </c>
    </row>
    <row r="242" spans="44:49">
      <c r="AR242" s="281" t="s">
        <v>274</v>
      </c>
      <c r="AS242" s="275">
        <v>2</v>
      </c>
      <c r="AT242" s="275">
        <v>7</v>
      </c>
      <c r="AU242" s="275">
        <v>3</v>
      </c>
      <c r="AV242" s="282">
        <v>8</v>
      </c>
      <c r="AW242" s="1">
        <v>2</v>
      </c>
    </row>
    <row r="243" spans="44:49">
      <c r="AR243" s="281" t="s">
        <v>275</v>
      </c>
      <c r="AS243" s="275">
        <v>2</v>
      </c>
      <c r="AT243" s="275">
        <v>8</v>
      </c>
      <c r="AU243" s="275">
        <v>3</v>
      </c>
      <c r="AV243" s="282">
        <v>1</v>
      </c>
      <c r="AW243" s="1">
        <v>2</v>
      </c>
    </row>
    <row r="244" spans="44:49">
      <c r="AR244" s="283" t="s">
        <v>276</v>
      </c>
      <c r="AS244" s="276">
        <v>2</v>
      </c>
      <c r="AT244" s="276">
        <v>1</v>
      </c>
      <c r="AU244" s="276">
        <v>3</v>
      </c>
      <c r="AV244" s="284">
        <v>2</v>
      </c>
      <c r="AW244" s="1">
        <v>2</v>
      </c>
    </row>
    <row r="245" spans="44:49">
      <c r="AR245" s="285" t="s">
        <v>277</v>
      </c>
      <c r="AS245" s="274">
        <v>1</v>
      </c>
      <c r="AT245" s="274">
        <v>1</v>
      </c>
      <c r="AU245" s="274">
        <v>3</v>
      </c>
      <c r="AV245" s="286">
        <v>3</v>
      </c>
      <c r="AW245" s="1">
        <v>2</v>
      </c>
    </row>
    <row r="246" spans="44:49">
      <c r="AR246" s="281" t="s">
        <v>278</v>
      </c>
      <c r="AS246" s="275">
        <v>1</v>
      </c>
      <c r="AT246" s="275">
        <v>2</v>
      </c>
      <c r="AU246" s="275">
        <v>3</v>
      </c>
      <c r="AV246" s="282">
        <v>4</v>
      </c>
      <c r="AW246" s="1">
        <v>2</v>
      </c>
    </row>
    <row r="247" spans="44:49">
      <c r="AR247" s="281" t="s">
        <v>279</v>
      </c>
      <c r="AS247" s="275">
        <v>1</v>
      </c>
      <c r="AT247" s="275">
        <v>3</v>
      </c>
      <c r="AU247" s="275">
        <v>3</v>
      </c>
      <c r="AV247" s="282">
        <v>5</v>
      </c>
      <c r="AW247" s="1">
        <v>2</v>
      </c>
    </row>
    <row r="248" spans="44:49">
      <c r="AR248" s="281" t="s">
        <v>280</v>
      </c>
      <c r="AS248" s="275">
        <v>1</v>
      </c>
      <c r="AT248" s="275">
        <v>4</v>
      </c>
      <c r="AU248" s="275">
        <v>3</v>
      </c>
      <c r="AV248" s="282">
        <v>6</v>
      </c>
      <c r="AW248" s="1">
        <v>2</v>
      </c>
    </row>
    <row r="249" spans="44:49">
      <c r="AR249" s="281" t="s">
        <v>281</v>
      </c>
      <c r="AS249" s="275">
        <v>1</v>
      </c>
      <c r="AT249" s="275">
        <v>5</v>
      </c>
      <c r="AU249" s="275">
        <v>3</v>
      </c>
      <c r="AV249" s="282">
        <v>7</v>
      </c>
      <c r="AW249" s="1">
        <v>2</v>
      </c>
    </row>
    <row r="250" spans="44:49">
      <c r="AR250" s="281" t="s">
        <v>282</v>
      </c>
      <c r="AS250" s="275">
        <v>1</v>
      </c>
      <c r="AT250" s="275">
        <v>6</v>
      </c>
      <c r="AU250" s="275">
        <v>3</v>
      </c>
      <c r="AV250" s="282">
        <v>8</v>
      </c>
      <c r="AW250" s="1">
        <v>2</v>
      </c>
    </row>
    <row r="251" spans="44:49">
      <c r="AR251" s="281" t="s">
        <v>283</v>
      </c>
      <c r="AS251" s="275">
        <v>1</v>
      </c>
      <c r="AT251" s="275">
        <v>7</v>
      </c>
      <c r="AU251" s="275">
        <v>3</v>
      </c>
      <c r="AV251" s="282">
        <v>1</v>
      </c>
      <c r="AW251" s="1">
        <v>2</v>
      </c>
    </row>
    <row r="252" spans="44:49">
      <c r="AR252" s="283" t="s">
        <v>284</v>
      </c>
      <c r="AS252" s="276">
        <v>1</v>
      </c>
      <c r="AT252" s="276">
        <v>8</v>
      </c>
      <c r="AU252" s="276">
        <v>3</v>
      </c>
      <c r="AV252" s="284">
        <v>2</v>
      </c>
      <c r="AW252" s="1">
        <v>2</v>
      </c>
    </row>
    <row r="253" spans="44:49">
      <c r="AR253" s="285" t="s">
        <v>285</v>
      </c>
      <c r="AS253" s="274">
        <v>1</v>
      </c>
      <c r="AT253" s="274">
        <v>1</v>
      </c>
      <c r="AU253" s="274">
        <v>2</v>
      </c>
      <c r="AV253" s="286">
        <v>2</v>
      </c>
      <c r="AW253" s="1">
        <v>2</v>
      </c>
    </row>
    <row r="254" spans="44:49">
      <c r="AR254" s="281" t="s">
        <v>286</v>
      </c>
      <c r="AS254" s="275">
        <v>1</v>
      </c>
      <c r="AT254" s="275">
        <v>2</v>
      </c>
      <c r="AU254" s="275">
        <v>2</v>
      </c>
      <c r="AV254" s="282">
        <v>3</v>
      </c>
      <c r="AW254" s="1">
        <v>2</v>
      </c>
    </row>
    <row r="255" spans="44:49">
      <c r="AR255" s="281" t="s">
        <v>287</v>
      </c>
      <c r="AS255" s="275">
        <v>1</v>
      </c>
      <c r="AT255" s="275">
        <v>3</v>
      </c>
      <c r="AU255" s="275">
        <v>2</v>
      </c>
      <c r="AV255" s="282">
        <v>4</v>
      </c>
      <c r="AW255" s="1">
        <v>2</v>
      </c>
    </row>
    <row r="256" spans="44:49">
      <c r="AR256" s="281" t="s">
        <v>288</v>
      </c>
      <c r="AS256" s="275">
        <v>1</v>
      </c>
      <c r="AT256" s="275">
        <v>4</v>
      </c>
      <c r="AU256" s="275">
        <v>2</v>
      </c>
      <c r="AV256" s="282">
        <v>5</v>
      </c>
      <c r="AW256" s="1">
        <v>2</v>
      </c>
    </row>
    <row r="257" spans="44:49">
      <c r="AR257" s="281" t="s">
        <v>289</v>
      </c>
      <c r="AS257" s="275">
        <v>1</v>
      </c>
      <c r="AT257" s="275">
        <v>5</v>
      </c>
      <c r="AU257" s="275">
        <v>2</v>
      </c>
      <c r="AV257" s="282">
        <v>6</v>
      </c>
      <c r="AW257" s="1">
        <v>2</v>
      </c>
    </row>
    <row r="258" spans="44:49">
      <c r="AR258" s="281" t="s">
        <v>290</v>
      </c>
      <c r="AS258" s="275">
        <v>1</v>
      </c>
      <c r="AT258" s="275">
        <v>6</v>
      </c>
      <c r="AU258" s="275">
        <v>2</v>
      </c>
      <c r="AV258" s="282">
        <v>7</v>
      </c>
      <c r="AW258" s="1">
        <v>2</v>
      </c>
    </row>
    <row r="259" spans="44:49">
      <c r="AR259" s="281" t="s">
        <v>291</v>
      </c>
      <c r="AS259" s="275">
        <v>1</v>
      </c>
      <c r="AT259" s="275">
        <v>7</v>
      </c>
      <c r="AU259" s="275">
        <v>2</v>
      </c>
      <c r="AV259" s="282">
        <v>8</v>
      </c>
      <c r="AW259" s="1">
        <v>2</v>
      </c>
    </row>
    <row r="260" spans="44:49" ht="16.8" thickBot="1">
      <c r="AR260" s="287" t="s">
        <v>292</v>
      </c>
      <c r="AS260" s="288">
        <v>1</v>
      </c>
      <c r="AT260" s="288">
        <v>8</v>
      </c>
      <c r="AU260" s="288">
        <v>2</v>
      </c>
      <c r="AV260" s="289">
        <v>1</v>
      </c>
      <c r="AW260" s="1">
        <v>2</v>
      </c>
    </row>
    <row r="261" spans="44:49">
      <c r="AR261" s="278" t="s">
        <v>293</v>
      </c>
      <c r="AS261" s="279">
        <v>2</v>
      </c>
      <c r="AT261" s="279">
        <v>3</v>
      </c>
      <c r="AU261" s="279">
        <v>3</v>
      </c>
      <c r="AV261" s="280">
        <v>5</v>
      </c>
      <c r="AW261" s="1">
        <v>3</v>
      </c>
    </row>
    <row r="262" spans="44:49">
      <c r="AR262" s="281" t="s">
        <v>294</v>
      </c>
      <c r="AS262" s="275">
        <v>2</v>
      </c>
      <c r="AT262" s="275">
        <v>4</v>
      </c>
      <c r="AU262" s="275">
        <v>3</v>
      </c>
      <c r="AV262" s="282">
        <v>6</v>
      </c>
      <c r="AW262" s="1">
        <v>3</v>
      </c>
    </row>
    <row r="263" spans="44:49">
      <c r="AR263" s="281" t="s">
        <v>295</v>
      </c>
      <c r="AS263" s="275">
        <v>2</v>
      </c>
      <c r="AT263" s="275">
        <v>5</v>
      </c>
      <c r="AU263" s="275">
        <v>3</v>
      </c>
      <c r="AV263" s="282">
        <v>7</v>
      </c>
      <c r="AW263" s="1">
        <v>3</v>
      </c>
    </row>
    <row r="264" spans="44:49">
      <c r="AR264" s="281" t="s">
        <v>296</v>
      </c>
      <c r="AS264" s="275">
        <v>2</v>
      </c>
      <c r="AT264" s="275">
        <v>6</v>
      </c>
      <c r="AU264" s="275">
        <v>3</v>
      </c>
      <c r="AV264" s="282">
        <v>8</v>
      </c>
      <c r="AW264" s="1">
        <v>3</v>
      </c>
    </row>
    <row r="265" spans="44:49">
      <c r="AR265" s="281" t="s">
        <v>297</v>
      </c>
      <c r="AS265" s="275">
        <v>2</v>
      </c>
      <c r="AT265" s="275">
        <v>7</v>
      </c>
      <c r="AU265" s="275">
        <v>3</v>
      </c>
      <c r="AV265" s="282">
        <v>1</v>
      </c>
      <c r="AW265" s="1">
        <v>3</v>
      </c>
    </row>
    <row r="266" spans="44:49">
      <c r="AR266" s="281" t="s">
        <v>298</v>
      </c>
      <c r="AS266" s="275">
        <v>2</v>
      </c>
      <c r="AT266" s="275">
        <v>8</v>
      </c>
      <c r="AU266" s="275">
        <v>3</v>
      </c>
      <c r="AV266" s="282">
        <v>2</v>
      </c>
      <c r="AW266" s="1">
        <v>3</v>
      </c>
    </row>
    <row r="267" spans="44:49">
      <c r="AR267" s="281" t="s">
        <v>299</v>
      </c>
      <c r="AS267" s="275">
        <v>2</v>
      </c>
      <c r="AT267" s="275">
        <v>1</v>
      </c>
      <c r="AU267" s="275">
        <v>3</v>
      </c>
      <c r="AV267" s="282">
        <v>3</v>
      </c>
      <c r="AW267" s="1">
        <v>3</v>
      </c>
    </row>
    <row r="268" spans="44:49">
      <c r="AR268" s="283" t="s">
        <v>300</v>
      </c>
      <c r="AS268" s="276">
        <v>2</v>
      </c>
      <c r="AT268" s="276">
        <v>2</v>
      </c>
      <c r="AU268" s="276">
        <v>3</v>
      </c>
      <c r="AV268" s="284">
        <v>4</v>
      </c>
      <c r="AW268" s="1">
        <v>3</v>
      </c>
    </row>
    <row r="269" spans="44:49">
      <c r="AR269" s="285" t="s">
        <v>301</v>
      </c>
      <c r="AS269" s="274">
        <v>1</v>
      </c>
      <c r="AT269" s="274">
        <v>1</v>
      </c>
      <c r="AU269" s="274">
        <v>3</v>
      </c>
      <c r="AV269" s="286">
        <v>5</v>
      </c>
      <c r="AW269" s="1">
        <v>3</v>
      </c>
    </row>
    <row r="270" spans="44:49">
      <c r="AR270" s="281" t="s">
        <v>302</v>
      </c>
      <c r="AS270" s="275">
        <v>1</v>
      </c>
      <c r="AT270" s="275">
        <v>2</v>
      </c>
      <c r="AU270" s="275">
        <v>3</v>
      </c>
      <c r="AV270" s="282">
        <v>6</v>
      </c>
      <c r="AW270" s="1">
        <v>3</v>
      </c>
    </row>
    <row r="271" spans="44:49">
      <c r="AR271" s="281" t="s">
        <v>303</v>
      </c>
      <c r="AS271" s="275">
        <v>1</v>
      </c>
      <c r="AT271" s="275">
        <v>3</v>
      </c>
      <c r="AU271" s="275">
        <v>3</v>
      </c>
      <c r="AV271" s="282">
        <v>7</v>
      </c>
      <c r="AW271" s="1">
        <v>3</v>
      </c>
    </row>
    <row r="272" spans="44:49">
      <c r="AR272" s="281" t="s">
        <v>304</v>
      </c>
      <c r="AS272" s="275">
        <v>1</v>
      </c>
      <c r="AT272" s="275">
        <v>4</v>
      </c>
      <c r="AU272" s="275">
        <v>3</v>
      </c>
      <c r="AV272" s="282">
        <v>8</v>
      </c>
      <c r="AW272" s="1">
        <v>3</v>
      </c>
    </row>
    <row r="273" spans="44:49">
      <c r="AR273" s="281" t="s">
        <v>305</v>
      </c>
      <c r="AS273" s="275">
        <v>1</v>
      </c>
      <c r="AT273" s="275">
        <v>5</v>
      </c>
      <c r="AU273" s="275">
        <v>3</v>
      </c>
      <c r="AV273" s="282">
        <v>1</v>
      </c>
      <c r="AW273" s="1">
        <v>3</v>
      </c>
    </row>
    <row r="274" spans="44:49">
      <c r="AR274" s="281" t="s">
        <v>306</v>
      </c>
      <c r="AS274" s="275">
        <v>1</v>
      </c>
      <c r="AT274" s="275">
        <v>6</v>
      </c>
      <c r="AU274" s="275">
        <v>3</v>
      </c>
      <c r="AV274" s="282">
        <v>2</v>
      </c>
      <c r="AW274" s="1">
        <v>3</v>
      </c>
    </row>
    <row r="275" spans="44:49">
      <c r="AR275" s="281" t="s">
        <v>307</v>
      </c>
      <c r="AS275" s="275">
        <v>1</v>
      </c>
      <c r="AT275" s="275">
        <v>7</v>
      </c>
      <c r="AU275" s="275">
        <v>3</v>
      </c>
      <c r="AV275" s="282">
        <v>3</v>
      </c>
      <c r="AW275" s="1">
        <v>3</v>
      </c>
    </row>
    <row r="276" spans="44:49">
      <c r="AR276" s="283" t="s">
        <v>308</v>
      </c>
      <c r="AS276" s="276">
        <v>1</v>
      </c>
      <c r="AT276" s="276">
        <v>8</v>
      </c>
      <c r="AU276" s="276">
        <v>3</v>
      </c>
      <c r="AV276" s="284">
        <v>4</v>
      </c>
      <c r="AW276" s="1">
        <v>3</v>
      </c>
    </row>
    <row r="277" spans="44:49">
      <c r="AR277" s="285" t="s">
        <v>309</v>
      </c>
      <c r="AS277" s="274">
        <v>1</v>
      </c>
      <c r="AT277" s="274">
        <v>1</v>
      </c>
      <c r="AU277" s="274">
        <v>2</v>
      </c>
      <c r="AV277" s="286">
        <v>3</v>
      </c>
      <c r="AW277" s="1">
        <v>3</v>
      </c>
    </row>
    <row r="278" spans="44:49">
      <c r="AR278" s="281" t="s">
        <v>310</v>
      </c>
      <c r="AS278" s="275">
        <v>1</v>
      </c>
      <c r="AT278" s="275">
        <v>2</v>
      </c>
      <c r="AU278" s="275">
        <v>2</v>
      </c>
      <c r="AV278" s="282">
        <v>4</v>
      </c>
      <c r="AW278" s="1">
        <v>3</v>
      </c>
    </row>
    <row r="279" spans="44:49">
      <c r="AR279" s="281" t="s">
        <v>311</v>
      </c>
      <c r="AS279" s="275">
        <v>1</v>
      </c>
      <c r="AT279" s="275">
        <v>3</v>
      </c>
      <c r="AU279" s="275">
        <v>2</v>
      </c>
      <c r="AV279" s="282">
        <v>5</v>
      </c>
      <c r="AW279" s="1">
        <v>3</v>
      </c>
    </row>
    <row r="280" spans="44:49">
      <c r="AR280" s="281" t="s">
        <v>312</v>
      </c>
      <c r="AS280" s="275">
        <v>1</v>
      </c>
      <c r="AT280" s="275">
        <v>4</v>
      </c>
      <c r="AU280" s="275">
        <v>2</v>
      </c>
      <c r="AV280" s="282">
        <v>6</v>
      </c>
      <c r="AW280" s="1">
        <v>3</v>
      </c>
    </row>
    <row r="281" spans="44:49">
      <c r="AR281" s="281" t="s">
        <v>313</v>
      </c>
      <c r="AS281" s="275">
        <v>1</v>
      </c>
      <c r="AT281" s="275">
        <v>5</v>
      </c>
      <c r="AU281" s="275">
        <v>2</v>
      </c>
      <c r="AV281" s="282">
        <v>7</v>
      </c>
      <c r="AW281" s="1">
        <v>3</v>
      </c>
    </row>
    <row r="282" spans="44:49">
      <c r="AR282" s="281" t="s">
        <v>314</v>
      </c>
      <c r="AS282" s="275">
        <v>1</v>
      </c>
      <c r="AT282" s="275">
        <v>6</v>
      </c>
      <c r="AU282" s="275">
        <v>2</v>
      </c>
      <c r="AV282" s="282">
        <v>8</v>
      </c>
      <c r="AW282" s="1">
        <v>3</v>
      </c>
    </row>
    <row r="283" spans="44:49">
      <c r="AR283" s="281" t="s">
        <v>315</v>
      </c>
      <c r="AS283" s="275">
        <v>1</v>
      </c>
      <c r="AT283" s="275">
        <v>7</v>
      </c>
      <c r="AU283" s="275">
        <v>2</v>
      </c>
      <c r="AV283" s="282">
        <v>1</v>
      </c>
      <c r="AW283" s="1">
        <v>3</v>
      </c>
    </row>
    <row r="284" spans="44:49" ht="16.8" thickBot="1">
      <c r="AR284" s="287" t="s">
        <v>316</v>
      </c>
      <c r="AS284" s="288">
        <v>1</v>
      </c>
      <c r="AT284" s="288">
        <v>8</v>
      </c>
      <c r="AU284" s="288">
        <v>2</v>
      </c>
      <c r="AV284" s="289">
        <v>2</v>
      </c>
      <c r="AW284" s="1">
        <v>3</v>
      </c>
    </row>
  </sheetData>
  <mergeCells count="119">
    <mergeCell ref="G2:H2"/>
    <mergeCell ref="J9:L9"/>
    <mergeCell ref="K6:L6"/>
    <mergeCell ref="J10:K10"/>
    <mergeCell ref="M9:O9"/>
    <mergeCell ref="D27:F27"/>
    <mergeCell ref="G27:J27"/>
    <mergeCell ref="K26:M26"/>
    <mergeCell ref="D21:J21"/>
    <mergeCell ref="K27:M27"/>
    <mergeCell ref="D9:F9"/>
    <mergeCell ref="G9:I9"/>
    <mergeCell ref="D15:E15"/>
    <mergeCell ref="G13:H13"/>
    <mergeCell ref="J13:K13"/>
    <mergeCell ref="D4:G4"/>
    <mergeCell ref="B9:C10"/>
    <mergeCell ref="G10:H10"/>
    <mergeCell ref="D6:I6"/>
    <mergeCell ref="D11:E11"/>
    <mergeCell ref="D24:F24"/>
    <mergeCell ref="G24:J24"/>
    <mergeCell ref="S11:T11"/>
    <mergeCell ref="V11:W11"/>
    <mergeCell ref="B13:C13"/>
    <mergeCell ref="D12:E12"/>
    <mergeCell ref="D13:E13"/>
    <mergeCell ref="B12:C12"/>
    <mergeCell ref="Y13:Z13"/>
    <mergeCell ref="M13:N13"/>
    <mergeCell ref="V13:W13"/>
    <mergeCell ref="J12:K12"/>
    <mergeCell ref="B11:C11"/>
    <mergeCell ref="G11:H11"/>
    <mergeCell ref="Y9:AA9"/>
    <mergeCell ref="Y10:Z10"/>
    <mergeCell ref="S12:T12"/>
    <mergeCell ref="V12:W12"/>
    <mergeCell ref="S13:T13"/>
    <mergeCell ref="Y11:Z11"/>
    <mergeCell ref="Y12:Z12"/>
    <mergeCell ref="V10:W10"/>
    <mergeCell ref="S9:U9"/>
    <mergeCell ref="S10:T10"/>
    <mergeCell ref="D16:E16"/>
    <mergeCell ref="R25:T25"/>
    <mergeCell ref="N23:Q23"/>
    <mergeCell ref="D25:F25"/>
    <mergeCell ref="G25:J25"/>
    <mergeCell ref="K25:M25"/>
    <mergeCell ref="N25:Q25"/>
    <mergeCell ref="R24:T24"/>
    <mergeCell ref="P9:R9"/>
    <mergeCell ref="D10:E10"/>
    <mergeCell ref="M10:N10"/>
    <mergeCell ref="M12:N12"/>
    <mergeCell ref="P12:Q12"/>
    <mergeCell ref="P10:Q10"/>
    <mergeCell ref="M11:N11"/>
    <mergeCell ref="P11:Q11"/>
    <mergeCell ref="G12:H12"/>
    <mergeCell ref="J11:K11"/>
    <mergeCell ref="R21:X21"/>
    <mergeCell ref="K23:M23"/>
    <mergeCell ref="G22:J22"/>
    <mergeCell ref="K22:M22"/>
    <mergeCell ref="N22:Q22"/>
    <mergeCell ref="R23:T23"/>
    <mergeCell ref="K21:Q21"/>
    <mergeCell ref="U23:X23"/>
    <mergeCell ref="V9:X9"/>
    <mergeCell ref="P13:Q13"/>
    <mergeCell ref="D26:F26"/>
    <mergeCell ref="G26:J26"/>
    <mergeCell ref="D22:F22"/>
    <mergeCell ref="R22:T22"/>
    <mergeCell ref="U22:X22"/>
    <mergeCell ref="D23:F23"/>
    <mergeCell ref="G23:J23"/>
    <mergeCell ref="K24:M24"/>
    <mergeCell ref="N24:Q24"/>
    <mergeCell ref="N26:Q26"/>
    <mergeCell ref="R26:T26"/>
    <mergeCell ref="U26:X26"/>
    <mergeCell ref="U25:X25"/>
    <mergeCell ref="U24:X24"/>
    <mergeCell ref="R28:T28"/>
    <mergeCell ref="U28:X28"/>
    <mergeCell ref="R27:T27"/>
    <mergeCell ref="U27:X27"/>
    <mergeCell ref="N27:Q27"/>
    <mergeCell ref="D31:F31"/>
    <mergeCell ref="G31:J31"/>
    <mergeCell ref="K31:M31"/>
    <mergeCell ref="N31:Q31"/>
    <mergeCell ref="R31:T31"/>
    <mergeCell ref="U31:X31"/>
    <mergeCell ref="D28:F28"/>
    <mergeCell ref="G28:J28"/>
    <mergeCell ref="K28:M28"/>
    <mergeCell ref="N28:Q28"/>
    <mergeCell ref="R29:T29"/>
    <mergeCell ref="U29:X29"/>
    <mergeCell ref="D29:F29"/>
    <mergeCell ref="G29:J29"/>
    <mergeCell ref="K29:M29"/>
    <mergeCell ref="N29:Q29"/>
    <mergeCell ref="D33:F33"/>
    <mergeCell ref="G33:J33"/>
    <mergeCell ref="K33:M33"/>
    <mergeCell ref="N33:Q33"/>
    <mergeCell ref="R33:T33"/>
    <mergeCell ref="U33:X33"/>
    <mergeCell ref="D32:F32"/>
    <mergeCell ref="G32:J32"/>
    <mergeCell ref="K32:M32"/>
    <mergeCell ref="N32:Q32"/>
    <mergeCell ref="R32:T32"/>
    <mergeCell ref="U32:X32"/>
  </mergeCells>
  <phoneticPr fontId="49"/>
  <dataValidations count="1">
    <dataValidation type="list" allowBlank="1" showInputMessage="1" showErrorMessage="1" sqref="AA11:AA13 R11:R13 I11:I13 L11:L13 O11:O13 F11:F13 X11:X13 U11:U13">
      <formula1>点数</formula1>
    </dataValidation>
  </dataValidations>
  <pageMargins left="0.59027777777777779" right="0.59027777777777779" top="0.98402777777777772" bottom="0.98402777777777772" header="0.51111111111111107" footer="0.51111111111111107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BT105"/>
  <sheetViews>
    <sheetView zoomScale="40" zoomScaleNormal="40" workbookViewId="0">
      <selection activeCell="F7" sqref="F7"/>
    </sheetView>
  </sheetViews>
  <sheetFormatPr defaultColWidth="9" defaultRowHeight="15" customHeight="1"/>
  <cols>
    <col min="1" max="1" width="2.44140625" customWidth="1"/>
    <col min="2" max="8" width="8.6640625" customWidth="1"/>
    <col min="9" max="10" width="2.44140625" customWidth="1"/>
    <col min="11" max="17" width="8.6640625" customWidth="1"/>
    <col min="18" max="19" width="2.44140625" customWidth="1"/>
    <col min="20" max="26" width="8.6640625" customWidth="1"/>
    <col min="27" max="28" width="2.44140625" customWidth="1"/>
    <col min="29" max="35" width="8.6640625" customWidth="1"/>
    <col min="36" max="37" width="2.44140625" customWidth="1"/>
    <col min="38" max="44" width="8.6640625" customWidth="1"/>
    <col min="45" max="46" width="2.44140625" customWidth="1"/>
    <col min="47" max="53" width="8.6640625" customWidth="1"/>
    <col min="54" max="55" width="2.44140625" customWidth="1"/>
    <col min="56" max="62" width="8.6640625" customWidth="1"/>
    <col min="63" max="64" width="2.44140625" customWidth="1"/>
    <col min="65" max="71" width="8.6640625" customWidth="1"/>
    <col min="72" max="72" width="2.44140625" customWidth="1"/>
  </cols>
  <sheetData>
    <row r="1" spans="2:72" ht="15" customHeight="1">
      <c r="J1" t="s">
        <v>23</v>
      </c>
      <c r="K1" s="54" t="str">
        <f>【結果】個人成績表!$A$1</f>
        <v>第8回　神奈滋対抗戦　　　(奈良；キングスポット)</v>
      </c>
      <c r="L1" s="105"/>
      <c r="M1" s="105"/>
      <c r="N1" s="105"/>
      <c r="O1" s="105"/>
      <c r="P1" s="105"/>
      <c r="Q1" s="106"/>
    </row>
    <row r="3" spans="2:72" ht="15" customHeight="1">
      <c r="B3" t="s">
        <v>24</v>
      </c>
      <c r="J3" s="107"/>
      <c r="K3" s="53" t="s">
        <v>25</v>
      </c>
      <c r="L3" s="94"/>
      <c r="M3" s="107"/>
      <c r="N3" s="107"/>
      <c r="O3" s="53" t="s">
        <v>26</v>
      </c>
      <c r="P3" s="94"/>
      <c r="Q3" s="107"/>
    </row>
    <row r="5" spans="2:72" ht="31.5" customHeight="1">
      <c r="K5" s="108"/>
      <c r="L5" s="109"/>
      <c r="M5" s="110"/>
      <c r="N5" s="111" t="s">
        <v>27</v>
      </c>
      <c r="O5" s="112"/>
      <c r="P5" s="109"/>
      <c r="Q5" s="113"/>
    </row>
    <row r="6" spans="2:72" ht="46.5" customHeight="1">
      <c r="K6" s="114"/>
      <c r="L6" s="49"/>
      <c r="M6" s="50"/>
      <c r="N6" s="115" t="s">
        <v>28</v>
      </c>
      <c r="O6" s="116"/>
      <c r="P6" s="49"/>
      <c r="Q6" s="117"/>
    </row>
    <row r="7" spans="2:72" ht="37.5" customHeight="1">
      <c r="K7" s="118"/>
      <c r="L7" s="49"/>
      <c r="M7" s="50"/>
      <c r="N7" s="115" t="s">
        <v>29</v>
      </c>
      <c r="O7" s="119"/>
      <c r="P7" s="49"/>
      <c r="Q7" s="117"/>
    </row>
    <row r="8" spans="2:72" ht="37.5" customHeight="1">
      <c r="K8" s="120"/>
      <c r="L8" s="121"/>
      <c r="M8" s="122"/>
      <c r="N8" s="123" t="s">
        <v>30</v>
      </c>
      <c r="O8" s="124"/>
      <c r="P8" s="121"/>
      <c r="Q8" s="125"/>
    </row>
    <row r="10" spans="2:72" ht="15" customHeight="1">
      <c r="M10" s="53"/>
      <c r="N10" s="53"/>
      <c r="O10" s="51" t="s">
        <v>31</v>
      </c>
      <c r="P10" s="94"/>
      <c r="Q10" s="94"/>
    </row>
    <row r="11" spans="2:72" ht="15" customHeight="1">
      <c r="B11" s="54" t="str">
        <f>【結果】個人成績表!$A$1</f>
        <v>第8回　神奈滋対抗戦　　　(奈良；キングスポット)</v>
      </c>
      <c r="C11" s="105"/>
      <c r="D11" s="105"/>
      <c r="E11" s="105"/>
      <c r="F11" s="105"/>
      <c r="G11" s="105"/>
      <c r="H11" s="106"/>
      <c r="K11" s="54" t="str">
        <f>【結果】個人成績表!$A$1</f>
        <v>第8回　神奈滋対抗戦　　　(奈良；キングスポット)</v>
      </c>
      <c r="L11" s="105"/>
      <c r="M11" s="105"/>
      <c r="N11" s="105"/>
      <c r="O11" s="105"/>
      <c r="P11" s="105"/>
      <c r="Q11" s="106"/>
      <c r="T11" s="54" t="str">
        <f>【結果】個人成績表!$A$1</f>
        <v>第8回　神奈滋対抗戦　　　(奈良；キングスポット)</v>
      </c>
      <c r="U11" s="105"/>
      <c r="V11" s="105"/>
      <c r="W11" s="105"/>
      <c r="X11" s="105"/>
      <c r="Y11" s="105"/>
      <c r="Z11" s="106"/>
      <c r="AC11" s="54" t="str">
        <f>【結果】個人成績表!$A$1</f>
        <v>第8回　神奈滋対抗戦　　　(奈良；キングスポット)</v>
      </c>
      <c r="AD11" s="105"/>
      <c r="AE11" s="105"/>
      <c r="AF11" s="105"/>
      <c r="AG11" s="105"/>
      <c r="AH11" s="105"/>
      <c r="AI11" s="106"/>
      <c r="AL11" s="54" t="str">
        <f>【結果】個人成績表!$A$1</f>
        <v>第8回　神奈滋対抗戦　　　(奈良；キングスポット)</v>
      </c>
      <c r="AM11" s="105"/>
      <c r="AN11" s="105"/>
      <c r="AO11" s="105"/>
      <c r="AP11" s="105"/>
      <c r="AQ11" s="105"/>
      <c r="AR11" s="106"/>
      <c r="AU11" s="54" t="str">
        <f>【結果】個人成績表!$A$1</f>
        <v>第8回　神奈滋対抗戦　　　(奈良；キングスポット)</v>
      </c>
      <c r="AV11" s="105"/>
      <c r="AW11" s="105"/>
      <c r="AX11" s="105"/>
      <c r="AY11" s="105"/>
      <c r="AZ11" s="105"/>
      <c r="BA11" s="106"/>
      <c r="BD11" s="54" t="str">
        <f>【結果】個人成績表!$A$1</f>
        <v>第8回　神奈滋対抗戦　　　(奈良；キングスポット)</v>
      </c>
      <c r="BE11" s="105"/>
      <c r="BF11" s="105"/>
      <c r="BG11" s="105"/>
      <c r="BH11" s="105"/>
      <c r="BI11" s="105"/>
      <c r="BJ11" s="106"/>
      <c r="BM11" s="54" t="str">
        <f>【結果】個人成績表!$A$1</f>
        <v>第8回　神奈滋対抗戦　　　(奈良；キングスポット)</v>
      </c>
      <c r="BN11" s="105"/>
      <c r="BO11" s="105"/>
      <c r="BP11" s="105"/>
      <c r="BQ11" s="105"/>
      <c r="BR11" s="105"/>
      <c r="BS11" s="106"/>
      <c r="BT11" t="s">
        <v>23</v>
      </c>
    </row>
    <row r="13" spans="2:72" s="107" customFormat="1" ht="15" customHeight="1">
      <c r="B13" s="53" t="s">
        <v>25</v>
      </c>
      <c r="C13" s="94">
        <f>【進行】結果入力表!B7</f>
        <v>1</v>
      </c>
      <c r="F13" s="53" t="s">
        <v>26</v>
      </c>
      <c r="G13" s="94"/>
      <c r="K13" s="53" t="s">
        <v>25</v>
      </c>
      <c r="L13" s="94">
        <f>【進行】結果入力表!B8</f>
        <v>2</v>
      </c>
      <c r="O13" s="53" t="s">
        <v>26</v>
      </c>
      <c r="P13" s="94"/>
      <c r="T13" s="53" t="s">
        <v>25</v>
      </c>
      <c r="U13" s="94">
        <f>【進行】結果入力表!B9</f>
        <v>3</v>
      </c>
      <c r="X13" s="53" t="s">
        <v>26</v>
      </c>
      <c r="Y13" s="94"/>
      <c r="AC13" s="53" t="s">
        <v>25</v>
      </c>
      <c r="AD13" s="94">
        <f>【進行】結果入力表!B10</f>
        <v>4</v>
      </c>
      <c r="AG13" s="53" t="s">
        <v>26</v>
      </c>
      <c r="AH13" s="94"/>
      <c r="AL13" s="53" t="s">
        <v>25</v>
      </c>
      <c r="AM13" s="94">
        <f>【進行】結果入力表!B11</f>
        <v>5</v>
      </c>
      <c r="AP13" s="53" t="s">
        <v>26</v>
      </c>
      <c r="AQ13" s="94"/>
      <c r="AU13" s="53" t="s">
        <v>25</v>
      </c>
      <c r="AV13" s="94">
        <f>【進行】結果入力表!B12</f>
        <v>6</v>
      </c>
      <c r="AY13" s="53" t="s">
        <v>26</v>
      </c>
      <c r="AZ13" s="94"/>
      <c r="BD13" s="53" t="s">
        <v>25</v>
      </c>
      <c r="BE13" s="94">
        <f>【進行】結果入力表!B13</f>
        <v>7</v>
      </c>
      <c r="BH13" s="53" t="s">
        <v>26</v>
      </c>
      <c r="BI13" s="94"/>
      <c r="BM13" s="53" t="s">
        <v>25</v>
      </c>
      <c r="BN13" s="94">
        <f>【進行】結果入力表!B14</f>
        <v>8</v>
      </c>
      <c r="BQ13" s="53" t="s">
        <v>26</v>
      </c>
      <c r="BR13" s="94"/>
    </row>
    <row r="15" spans="2:72" ht="31.5" customHeight="1">
      <c r="B15" s="108" t="str">
        <f>VLOOKUP(C13,【進行】結果入力表!$B$7:$J$78,2,FALSE)</f>
        <v>SBC</v>
      </c>
      <c r="C15" s="109"/>
      <c r="D15" s="110"/>
      <c r="E15" s="111" t="s">
        <v>27</v>
      </c>
      <c r="F15" s="112" t="str">
        <f>VLOOKUP(C13,【進行】結果入力表!$B$7:$J$78,9,FALSE)</f>
        <v>HRC</v>
      </c>
      <c r="G15" s="109"/>
      <c r="H15" s="113"/>
      <c r="K15" s="108" t="str">
        <f>VLOOKUP(L13,【進行】結果入力表!$B$7:$J$78,2,FALSE)</f>
        <v>SBC</v>
      </c>
      <c r="L15" s="109"/>
      <c r="M15" s="110"/>
      <c r="N15" s="111" t="s">
        <v>27</v>
      </c>
      <c r="O15" s="112" t="str">
        <f>VLOOKUP(L13,【進行】結果入力表!$B$7:$J$78,9,FALSE)</f>
        <v>HRC</v>
      </c>
      <c r="P15" s="109"/>
      <c r="Q15" s="113"/>
      <c r="T15" s="108" t="str">
        <f>VLOOKUP(U13,【進行】結果入力表!$B$7:$J$78,2,FALSE)</f>
        <v>SBC</v>
      </c>
      <c r="U15" s="109"/>
      <c r="V15" s="110"/>
      <c r="W15" s="111" t="s">
        <v>27</v>
      </c>
      <c r="X15" s="112" t="str">
        <f>VLOOKUP(U13,【進行】結果入力表!$B$7:$J$78,9,FALSE)</f>
        <v>HRC</v>
      </c>
      <c r="Y15" s="109"/>
      <c r="Z15" s="113"/>
      <c r="AC15" s="108" t="str">
        <f>VLOOKUP(AD13,【進行】結果入力表!$B$7:$J$78,2,FALSE)</f>
        <v>SBC</v>
      </c>
      <c r="AD15" s="109"/>
      <c r="AE15" s="110"/>
      <c r="AF15" s="111" t="s">
        <v>27</v>
      </c>
      <c r="AG15" s="112" t="str">
        <f>VLOOKUP(AD13,【進行】結果入力表!$B$7:$J$78,9,FALSE)</f>
        <v>HRC</v>
      </c>
      <c r="AH15" s="109"/>
      <c r="AI15" s="113"/>
      <c r="AL15" s="108" t="str">
        <f>VLOOKUP(AM13,【進行】結果入力表!$B$7:$J$78,2,FALSE)</f>
        <v>SBC</v>
      </c>
      <c r="AM15" s="109"/>
      <c r="AN15" s="110"/>
      <c r="AO15" s="111" t="s">
        <v>27</v>
      </c>
      <c r="AP15" s="112" t="str">
        <f>VLOOKUP(AM13,【進行】結果入力表!$B$7:$J$78,9,FALSE)</f>
        <v>HRC</v>
      </c>
      <c r="AQ15" s="109"/>
      <c r="AR15" s="113"/>
      <c r="AU15" s="108" t="str">
        <f>VLOOKUP(AV13,【進行】結果入力表!$B$7:$J$78,2,FALSE)</f>
        <v>SBC</v>
      </c>
      <c r="AV15" s="109"/>
      <c r="AW15" s="110"/>
      <c r="AX15" s="111" t="s">
        <v>27</v>
      </c>
      <c r="AY15" s="112" t="str">
        <f>VLOOKUP(AV13,【進行】結果入力表!$B$7:$J$78,9,FALSE)</f>
        <v>HRC</v>
      </c>
      <c r="AZ15" s="109"/>
      <c r="BA15" s="113"/>
      <c r="BD15" s="108" t="str">
        <f>VLOOKUP(BE13,【進行】結果入力表!$B$7:$J$78,2,FALSE)</f>
        <v>NRC</v>
      </c>
      <c r="BE15" s="109"/>
      <c r="BF15" s="110"/>
      <c r="BG15" s="111" t="s">
        <v>27</v>
      </c>
      <c r="BH15" s="112" t="str">
        <f>VLOOKUP(BE13,【進行】結果入力表!$B$7:$J$78,9,FALSE)</f>
        <v>HRC</v>
      </c>
      <c r="BI15" s="109"/>
      <c r="BJ15" s="113"/>
      <c r="BM15" s="108" t="str">
        <f>VLOOKUP(BN13,【進行】結果入力表!$B$7:$J$78,2,FALSE)</f>
        <v>NRC</v>
      </c>
      <c r="BN15" s="109"/>
      <c r="BO15" s="110"/>
      <c r="BP15" s="111" t="s">
        <v>27</v>
      </c>
      <c r="BQ15" s="112" t="str">
        <f>VLOOKUP(BN13,【進行】結果入力表!$B$7:$J$78,9,FALSE)</f>
        <v>HRC</v>
      </c>
      <c r="BR15" s="109"/>
      <c r="BS15" s="113"/>
    </row>
    <row r="16" spans="2:72" s="233" customFormat="1" ht="46.5" customHeight="1">
      <c r="B16" s="227" t="str">
        <f>VLOOKUP(C13,【進行】結果入力表!$B$7:$J$78,3,FALSE)</f>
        <v>大橋正寛</v>
      </c>
      <c r="C16" s="228"/>
      <c r="D16" s="229"/>
      <c r="E16" s="230" t="s">
        <v>28</v>
      </c>
      <c r="F16" s="231" t="str">
        <f>VLOOKUP(C13,【進行】結果入力表!$B$7:$J$78,8,FALSE)</f>
        <v>宮本一</v>
      </c>
      <c r="G16" s="228"/>
      <c r="H16" s="232"/>
      <c r="K16" s="227" t="str">
        <f>VLOOKUP(L13,【進行】結果入力表!$B$7:$J$78,3,FALSE)</f>
        <v>長田智紀</v>
      </c>
      <c r="L16" s="228"/>
      <c r="M16" s="229"/>
      <c r="N16" s="230" t="s">
        <v>28</v>
      </c>
      <c r="O16" s="231" t="str">
        <f>VLOOKUP(L13,【進行】結果入力表!$B$7:$J$78,8,FALSE)</f>
        <v>堂園雅也</v>
      </c>
      <c r="P16" s="228"/>
      <c r="Q16" s="232"/>
      <c r="T16" s="227" t="str">
        <f>VLOOKUP(U13,【進行】結果入力表!$B$7:$J$78,3,FALSE)</f>
        <v>西峰久祐</v>
      </c>
      <c r="U16" s="228"/>
      <c r="V16" s="229"/>
      <c r="W16" s="230" t="s">
        <v>28</v>
      </c>
      <c r="X16" s="231" t="str">
        <f>VLOOKUP(U13,【進行】結果入力表!$B$7:$J$78,8,FALSE)</f>
        <v>平井洸志</v>
      </c>
      <c r="Y16" s="228"/>
      <c r="Z16" s="232"/>
      <c r="AC16" s="227" t="str">
        <f>VLOOKUP(AD13,【進行】結果入力表!$B$7:$J$78,3,FALSE)</f>
        <v>大橋義治</v>
      </c>
      <c r="AD16" s="228"/>
      <c r="AE16" s="229"/>
      <c r="AF16" s="230" t="s">
        <v>28</v>
      </c>
      <c r="AG16" s="231" t="str">
        <f>VLOOKUP(AD13,【進行】結果入力表!$B$7:$J$78,8,FALSE)</f>
        <v>宮井健太郎</v>
      </c>
      <c r="AH16" s="228"/>
      <c r="AI16" s="232"/>
      <c r="AL16" s="227" t="str">
        <f>VLOOKUP(AM13,【進行】結果入力表!$B$7:$J$78,3,FALSE)</f>
        <v>山中康寛</v>
      </c>
      <c r="AM16" s="228"/>
      <c r="AN16" s="229"/>
      <c r="AO16" s="230" t="s">
        <v>28</v>
      </c>
      <c r="AP16" s="231" t="str">
        <f>VLOOKUP(AM13,【進行】結果入力表!$B$7:$J$78,8,FALSE)</f>
        <v>金井健太郎</v>
      </c>
      <c r="AQ16" s="228"/>
      <c r="AR16" s="232"/>
      <c r="AU16" s="227" t="str">
        <f>VLOOKUP(AV13,【進行】結果入力表!$B$7:$J$78,3,FALSE)</f>
        <v>大橋洋子</v>
      </c>
      <c r="AV16" s="228"/>
      <c r="AW16" s="229"/>
      <c r="AX16" s="230" t="s">
        <v>28</v>
      </c>
      <c r="AY16" s="231" t="str">
        <f>VLOOKUP(AV13,【進行】結果入力表!$B$7:$J$78,8,FALSE)</f>
        <v>河地恵里</v>
      </c>
      <c r="AZ16" s="228"/>
      <c r="BA16" s="232"/>
      <c r="BD16" s="227" t="str">
        <f>VLOOKUP(BE13,【進行】結果入力表!$B$7:$J$78,3,FALSE)</f>
        <v>吉向翔平</v>
      </c>
      <c r="BE16" s="228"/>
      <c r="BF16" s="229"/>
      <c r="BG16" s="230" t="s">
        <v>28</v>
      </c>
      <c r="BH16" s="231" t="str">
        <f>VLOOKUP(BE13,【進行】結果入力表!$B$7:$J$78,8,FALSE)</f>
        <v>宮本一</v>
      </c>
      <c r="BI16" s="228"/>
      <c r="BJ16" s="232"/>
      <c r="BM16" s="227" t="str">
        <f>VLOOKUP(BN13,【進行】結果入力表!$B$7:$J$78,3,FALSE)</f>
        <v>岩本剛</v>
      </c>
      <c r="BN16" s="228"/>
      <c r="BO16" s="229"/>
      <c r="BP16" s="230" t="s">
        <v>28</v>
      </c>
      <c r="BQ16" s="231" t="str">
        <f>VLOOKUP(BN13,【進行】結果入力表!$B$7:$J$78,8,FALSE)</f>
        <v>堂園雅也</v>
      </c>
      <c r="BR16" s="228"/>
      <c r="BS16" s="232"/>
    </row>
    <row r="17" spans="2:72" ht="37.5" customHeight="1">
      <c r="B17" s="118"/>
      <c r="C17" s="49"/>
      <c r="D17" s="50"/>
      <c r="E17" s="115" t="s">
        <v>29</v>
      </c>
      <c r="F17" s="119"/>
      <c r="G17" s="49"/>
      <c r="H17" s="117"/>
      <c r="K17" s="118"/>
      <c r="L17" s="49"/>
      <c r="M17" s="50"/>
      <c r="N17" s="115" t="s">
        <v>29</v>
      </c>
      <c r="O17" s="119"/>
      <c r="P17" s="49"/>
      <c r="Q17" s="117"/>
      <c r="T17" s="118"/>
      <c r="U17" s="49"/>
      <c r="V17" s="50"/>
      <c r="W17" s="115" t="s">
        <v>29</v>
      </c>
      <c r="X17" s="119"/>
      <c r="Y17" s="49"/>
      <c r="Z17" s="117"/>
      <c r="AC17" s="118"/>
      <c r="AD17" s="49"/>
      <c r="AE17" s="50"/>
      <c r="AF17" s="115" t="s">
        <v>29</v>
      </c>
      <c r="AG17" s="119"/>
      <c r="AH17" s="49"/>
      <c r="AI17" s="117"/>
      <c r="AL17" s="118"/>
      <c r="AM17" s="49"/>
      <c r="AN17" s="50"/>
      <c r="AO17" s="115" t="s">
        <v>29</v>
      </c>
      <c r="AP17" s="119"/>
      <c r="AQ17" s="49"/>
      <c r="AR17" s="117"/>
      <c r="AU17" s="118"/>
      <c r="AV17" s="49"/>
      <c r="AW17" s="50"/>
      <c r="AX17" s="115" t="s">
        <v>29</v>
      </c>
      <c r="AY17" s="119"/>
      <c r="AZ17" s="49"/>
      <c r="BA17" s="117"/>
      <c r="BD17" s="118"/>
      <c r="BE17" s="49"/>
      <c r="BF17" s="50"/>
      <c r="BG17" s="115" t="s">
        <v>29</v>
      </c>
      <c r="BH17" s="119"/>
      <c r="BI17" s="49"/>
      <c r="BJ17" s="117"/>
      <c r="BM17" s="118"/>
      <c r="BN17" s="49"/>
      <c r="BO17" s="50"/>
      <c r="BP17" s="115" t="s">
        <v>29</v>
      </c>
      <c r="BQ17" s="119"/>
      <c r="BR17" s="49"/>
      <c r="BS17" s="117"/>
    </row>
    <row r="18" spans="2:72" ht="37.5" customHeight="1">
      <c r="B18" s="120"/>
      <c r="C18" s="121"/>
      <c r="D18" s="122"/>
      <c r="E18" s="123" t="s">
        <v>30</v>
      </c>
      <c r="F18" s="124"/>
      <c r="G18" s="121"/>
      <c r="H18" s="125"/>
      <c r="K18" s="120"/>
      <c r="L18" s="121"/>
      <c r="M18" s="122"/>
      <c r="N18" s="123" t="s">
        <v>30</v>
      </c>
      <c r="O18" s="124"/>
      <c r="P18" s="121"/>
      <c r="Q18" s="125"/>
      <c r="T18" s="120"/>
      <c r="U18" s="121"/>
      <c r="V18" s="122"/>
      <c r="W18" s="123" t="s">
        <v>30</v>
      </c>
      <c r="X18" s="124"/>
      <c r="Y18" s="121"/>
      <c r="Z18" s="125"/>
      <c r="AC18" s="120"/>
      <c r="AD18" s="121"/>
      <c r="AE18" s="122"/>
      <c r="AF18" s="123" t="s">
        <v>30</v>
      </c>
      <c r="AG18" s="124"/>
      <c r="AH18" s="121"/>
      <c r="AI18" s="125"/>
      <c r="AL18" s="120"/>
      <c r="AM18" s="121"/>
      <c r="AN18" s="122"/>
      <c r="AO18" s="123" t="s">
        <v>30</v>
      </c>
      <c r="AP18" s="124"/>
      <c r="AQ18" s="121"/>
      <c r="AR18" s="125"/>
      <c r="AU18" s="120"/>
      <c r="AV18" s="121"/>
      <c r="AW18" s="122"/>
      <c r="AX18" s="123" t="s">
        <v>30</v>
      </c>
      <c r="AY18" s="124"/>
      <c r="AZ18" s="121"/>
      <c r="BA18" s="125"/>
      <c r="BD18" s="120"/>
      <c r="BE18" s="121"/>
      <c r="BF18" s="122"/>
      <c r="BG18" s="123" t="s">
        <v>30</v>
      </c>
      <c r="BH18" s="124"/>
      <c r="BI18" s="121"/>
      <c r="BJ18" s="125"/>
      <c r="BM18" s="120"/>
      <c r="BN18" s="121"/>
      <c r="BO18" s="122"/>
      <c r="BP18" s="123" t="s">
        <v>30</v>
      </c>
      <c r="BQ18" s="124"/>
      <c r="BR18" s="121"/>
      <c r="BS18" s="125"/>
    </row>
    <row r="20" spans="2:72" ht="16.2">
      <c r="D20" s="53"/>
      <c r="E20" s="85" t="s">
        <v>32</v>
      </c>
      <c r="F20" s="235" t="str">
        <f>VLOOKUP(C13,【進行】結果入力表!$B$7:$M$78,11,FALSE)</f>
        <v>NRC</v>
      </c>
      <c r="G20" s="87" t="str">
        <f>VLOOKUP(C13,【進行】結果入力表!$B$7:$M$78,12,FALSE)</f>
        <v>吉向翔平</v>
      </c>
      <c r="H20" s="53"/>
      <c r="M20" s="53"/>
      <c r="N20" s="85" t="s">
        <v>32</v>
      </c>
      <c r="O20" s="235" t="str">
        <f>VLOOKUP(L13,【進行】結果入力表!$B$7:$M$78,11,FALSE)</f>
        <v>NRC</v>
      </c>
      <c r="P20" s="87" t="str">
        <f>VLOOKUP(L13,【進行】結果入力表!$B$7:$M$78,12,FALSE)</f>
        <v>岩本剛</v>
      </c>
      <c r="Q20" s="53"/>
      <c r="V20" s="53"/>
      <c r="W20" s="85" t="s">
        <v>32</v>
      </c>
      <c r="X20" s="235" t="str">
        <f>VLOOKUP(U13,【進行】結果入力表!$B$7:$M$78,11,FALSE)</f>
        <v>NRC</v>
      </c>
      <c r="Y20" s="87" t="str">
        <f>VLOOKUP(U13,【進行】結果入力表!$B$7:$M$78,12,FALSE)</f>
        <v>長谷川進</v>
      </c>
      <c r="Z20" s="53"/>
      <c r="AE20" s="53"/>
      <c r="AF20" s="85" t="s">
        <v>32</v>
      </c>
      <c r="AG20" s="235" t="str">
        <f>VLOOKUP(AD13,【進行】結果入力表!$B$7:$M$78,11,FALSE)</f>
        <v>NRC</v>
      </c>
      <c r="AH20" s="87" t="str">
        <f>VLOOKUP(AD13,【進行】結果入力表!$B$7:$M$78,12,FALSE)</f>
        <v>井本高史</v>
      </c>
      <c r="AI20" s="53"/>
      <c r="AN20" s="53"/>
      <c r="AO20" s="85" t="s">
        <v>32</v>
      </c>
      <c r="AP20" s="235" t="str">
        <f>VLOOKUP(AM13,【進行】結果入力表!$B$7:$M$78,11,FALSE)</f>
        <v>NRC</v>
      </c>
      <c r="AQ20" s="87" t="str">
        <f>VLOOKUP(AM13,【進行】結果入力表!$B$7:$M$78,12,FALSE)</f>
        <v>金澤茂昌</v>
      </c>
      <c r="AR20" s="53"/>
      <c r="AW20" s="53"/>
      <c r="AX20" s="85" t="s">
        <v>32</v>
      </c>
      <c r="AY20" s="235" t="str">
        <f>VLOOKUP(AV13,【進行】結果入力表!$B$7:$M$78,11,FALSE)</f>
        <v>NRC</v>
      </c>
      <c r="AZ20" s="87" t="str">
        <f>VLOOKUP(AV13,【進行】結果入力表!$B$7:$M$78,12,FALSE)</f>
        <v>宮野早織</v>
      </c>
      <c r="BA20" s="53"/>
      <c r="BF20" s="53"/>
      <c r="BG20" s="85" t="s">
        <v>32</v>
      </c>
      <c r="BH20" s="235" t="str">
        <f>VLOOKUP(BE13,【進行】結果入力表!$B$7:$M$78,11,FALSE)</f>
        <v>SBC</v>
      </c>
      <c r="BI20" s="87" t="str">
        <f>VLOOKUP(BE13,【進行】結果入力表!$B$7:$M$78,12,FALSE)</f>
        <v>大橋正寛</v>
      </c>
      <c r="BJ20" s="53"/>
      <c r="BO20" s="53"/>
      <c r="BP20" s="85" t="s">
        <v>32</v>
      </c>
      <c r="BQ20" s="235" t="str">
        <f>VLOOKUP(BN13,【進行】結果入力表!$B$7:$M$78,11,FALSE)</f>
        <v>SBC</v>
      </c>
      <c r="BR20" s="87" t="str">
        <f>VLOOKUP(BN13,【進行】結果入力表!$B$7:$M$78,12,FALSE)</f>
        <v>長田智紀</v>
      </c>
      <c r="BS20" s="53"/>
    </row>
    <row r="21" spans="2:72" ht="15" customHeight="1">
      <c r="B21" s="54" t="str">
        <f>【結果】個人成績表!$A$1</f>
        <v>第8回　神奈滋対抗戦　　　(奈良；キングスポット)</v>
      </c>
      <c r="C21" s="105"/>
      <c r="D21" s="105"/>
      <c r="E21" s="105"/>
      <c r="F21" s="105"/>
      <c r="G21" s="105"/>
      <c r="H21" s="106"/>
      <c r="K21" s="54" t="str">
        <f>【結果】個人成績表!$A$1</f>
        <v>第8回　神奈滋対抗戦　　　(奈良；キングスポット)</v>
      </c>
      <c r="L21" s="105"/>
      <c r="M21" s="105"/>
      <c r="N21" s="105"/>
      <c r="O21" s="105"/>
      <c r="P21" s="105"/>
      <c r="Q21" s="106"/>
      <c r="T21" s="54" t="str">
        <f>【結果】個人成績表!$A$1</f>
        <v>第8回　神奈滋対抗戦　　　(奈良；キングスポット)</v>
      </c>
      <c r="U21" s="105"/>
      <c r="V21" s="105"/>
      <c r="W21" s="105"/>
      <c r="X21" s="105"/>
      <c r="Y21" s="105"/>
      <c r="Z21" s="106"/>
      <c r="AC21" s="54" t="str">
        <f>【結果】個人成績表!$A$1</f>
        <v>第8回　神奈滋対抗戦　　　(奈良；キングスポット)</v>
      </c>
      <c r="AD21" s="105"/>
      <c r="AE21" s="105"/>
      <c r="AF21" s="105"/>
      <c r="AG21" s="105"/>
      <c r="AH21" s="105"/>
      <c r="AI21" s="106"/>
      <c r="AL21" s="54" t="str">
        <f>【結果】個人成績表!$A$1</f>
        <v>第8回　神奈滋対抗戦　　　(奈良；キングスポット)</v>
      </c>
      <c r="AM21" s="105"/>
      <c r="AN21" s="105"/>
      <c r="AO21" s="105"/>
      <c r="AP21" s="105"/>
      <c r="AQ21" s="105"/>
      <c r="AR21" s="106"/>
      <c r="AU21" s="54" t="str">
        <f>【結果】個人成績表!$A$1</f>
        <v>第8回　神奈滋対抗戦　　　(奈良；キングスポット)</v>
      </c>
      <c r="AV21" s="105"/>
      <c r="AW21" s="105"/>
      <c r="AX21" s="105"/>
      <c r="AY21" s="105"/>
      <c r="AZ21" s="105"/>
      <c r="BA21" s="106"/>
      <c r="BD21" s="54" t="str">
        <f>【結果】個人成績表!$A$1</f>
        <v>第8回　神奈滋対抗戦　　　(奈良；キングスポット)</v>
      </c>
      <c r="BE21" s="105"/>
      <c r="BF21" s="105"/>
      <c r="BG21" s="105"/>
      <c r="BH21" s="105"/>
      <c r="BI21" s="105"/>
      <c r="BJ21" s="106"/>
      <c r="BM21" s="54" t="str">
        <f>【結果】個人成績表!$A$1</f>
        <v>第8回　神奈滋対抗戦　　　(奈良；キングスポット)</v>
      </c>
      <c r="BN21" s="105"/>
      <c r="BO21" s="105"/>
      <c r="BP21" s="105"/>
      <c r="BQ21" s="105"/>
      <c r="BR21" s="105"/>
      <c r="BS21" s="106"/>
      <c r="BT21" t="s">
        <v>23</v>
      </c>
    </row>
    <row r="23" spans="2:72" s="107" customFormat="1" ht="15" customHeight="1">
      <c r="B23" s="53" t="s">
        <v>25</v>
      </c>
      <c r="C23" s="94">
        <f>【進行】結果入力表!B15</f>
        <v>9</v>
      </c>
      <c r="F23" s="53" t="s">
        <v>26</v>
      </c>
      <c r="G23" s="94"/>
      <c r="K23" s="53" t="s">
        <v>25</v>
      </c>
      <c r="L23" s="94">
        <f>【進行】結果入力表!B16</f>
        <v>10</v>
      </c>
      <c r="O23" s="53" t="s">
        <v>26</v>
      </c>
      <c r="P23" s="94"/>
      <c r="T23" s="53" t="s">
        <v>25</v>
      </c>
      <c r="U23" s="94">
        <f>【進行】結果入力表!B17</f>
        <v>11</v>
      </c>
      <c r="X23" s="53" t="s">
        <v>26</v>
      </c>
      <c r="Y23" s="94"/>
      <c r="AC23" s="53" t="s">
        <v>25</v>
      </c>
      <c r="AD23" s="94">
        <f>【進行】結果入力表!B18</f>
        <v>12</v>
      </c>
      <c r="AG23" s="53" t="s">
        <v>26</v>
      </c>
      <c r="AH23" s="94"/>
      <c r="AL23" s="53" t="s">
        <v>25</v>
      </c>
      <c r="AM23" s="94">
        <f>【進行】結果入力表!B19</f>
        <v>13</v>
      </c>
      <c r="AP23" s="53" t="s">
        <v>26</v>
      </c>
      <c r="AQ23" s="94"/>
      <c r="AU23" s="53" t="s">
        <v>25</v>
      </c>
      <c r="AV23" s="94">
        <f>【進行】結果入力表!B20</f>
        <v>14</v>
      </c>
      <c r="AY23" s="53" t="s">
        <v>26</v>
      </c>
      <c r="AZ23" s="94"/>
      <c r="BD23" s="53" t="s">
        <v>25</v>
      </c>
      <c r="BE23" s="94">
        <f>【進行】結果入力表!B21</f>
        <v>15</v>
      </c>
      <c r="BH23" s="53" t="s">
        <v>26</v>
      </c>
      <c r="BI23" s="94"/>
      <c r="BM23" s="53" t="s">
        <v>25</v>
      </c>
      <c r="BN23" s="94">
        <f>【進行】結果入力表!B22</f>
        <v>16</v>
      </c>
      <c r="BQ23" s="53" t="s">
        <v>26</v>
      </c>
      <c r="BR23" s="94"/>
    </row>
    <row r="25" spans="2:72" ht="31.5" customHeight="1">
      <c r="B25" s="108" t="str">
        <f>VLOOKUP(C23,【進行】結果入力表!$B$7:$J$78,2,FALSE)</f>
        <v>NRC</v>
      </c>
      <c r="C25" s="109"/>
      <c r="D25" s="110"/>
      <c r="E25" s="111" t="s">
        <v>27</v>
      </c>
      <c r="F25" s="112" t="str">
        <f>VLOOKUP(C23,【進行】結果入力表!$B$7:$J$78,9,FALSE)</f>
        <v>HRC</v>
      </c>
      <c r="G25" s="109"/>
      <c r="H25" s="113"/>
      <c r="K25" s="108" t="str">
        <f>VLOOKUP(L23,【進行】結果入力表!$B$7:$J$78,2,FALSE)</f>
        <v>NRC</v>
      </c>
      <c r="L25" s="109"/>
      <c r="M25" s="110"/>
      <c r="N25" s="111" t="s">
        <v>27</v>
      </c>
      <c r="O25" s="112" t="str">
        <f>VLOOKUP(L23,【進行】結果入力表!$B$7:$J$78,9,FALSE)</f>
        <v>HRC</v>
      </c>
      <c r="P25" s="109"/>
      <c r="Q25" s="113"/>
      <c r="T25" s="108" t="str">
        <f>VLOOKUP(U23,【進行】結果入力表!$B$7:$J$78,2,FALSE)</f>
        <v>NRC</v>
      </c>
      <c r="U25" s="109"/>
      <c r="V25" s="110"/>
      <c r="W25" s="111" t="s">
        <v>27</v>
      </c>
      <c r="X25" s="112" t="str">
        <f>VLOOKUP(U23,【進行】結果入力表!$B$7:$J$78,9,FALSE)</f>
        <v>HRC</v>
      </c>
      <c r="Y25" s="109"/>
      <c r="Z25" s="113"/>
      <c r="AC25" s="108" t="str">
        <f>VLOOKUP(AD23,【進行】結果入力表!$B$7:$J$78,2,FALSE)</f>
        <v>NRC</v>
      </c>
      <c r="AD25" s="109"/>
      <c r="AE25" s="110"/>
      <c r="AF25" s="111" t="s">
        <v>27</v>
      </c>
      <c r="AG25" s="112" t="str">
        <f>VLOOKUP(AD23,【進行】結果入力表!$B$7:$J$78,9,FALSE)</f>
        <v>HRC</v>
      </c>
      <c r="AH25" s="109"/>
      <c r="AI25" s="113"/>
      <c r="AL25" s="108" t="str">
        <f>VLOOKUP(AM23,【進行】結果入力表!$B$7:$J$78,2,FALSE)</f>
        <v>NRC</v>
      </c>
      <c r="AM25" s="109"/>
      <c r="AN25" s="110"/>
      <c r="AO25" s="111" t="s">
        <v>27</v>
      </c>
      <c r="AP25" s="112" t="str">
        <f>VLOOKUP(AM23,【進行】結果入力表!$B$7:$J$78,9,FALSE)</f>
        <v>SBC</v>
      </c>
      <c r="AQ25" s="109"/>
      <c r="AR25" s="113"/>
      <c r="AU25" s="108" t="str">
        <f>VLOOKUP(AV23,【進行】結果入力表!$B$7:$J$78,2,FALSE)</f>
        <v>NRC</v>
      </c>
      <c r="AV25" s="109"/>
      <c r="AW25" s="110"/>
      <c r="AX25" s="111" t="s">
        <v>27</v>
      </c>
      <c r="AY25" s="112" t="str">
        <f>VLOOKUP(AV23,【進行】結果入力表!$B$7:$J$78,9,FALSE)</f>
        <v>SBC</v>
      </c>
      <c r="AZ25" s="109"/>
      <c r="BA25" s="113"/>
      <c r="BD25" s="108" t="str">
        <f>VLOOKUP(BE23,【進行】結果入力表!$B$7:$J$78,2,FALSE)</f>
        <v>NRC</v>
      </c>
      <c r="BE25" s="109"/>
      <c r="BF25" s="110"/>
      <c r="BG25" s="111" t="s">
        <v>27</v>
      </c>
      <c r="BH25" s="112" t="str">
        <f>VLOOKUP(BE23,【進行】結果入力表!$B$7:$J$78,9,FALSE)</f>
        <v>SBC</v>
      </c>
      <c r="BI25" s="109"/>
      <c r="BJ25" s="113"/>
      <c r="BM25" s="108" t="str">
        <f>VLOOKUP(BN23,【進行】結果入力表!$B$7:$J$78,2,FALSE)</f>
        <v>NRC</v>
      </c>
      <c r="BN25" s="109"/>
      <c r="BO25" s="110"/>
      <c r="BP25" s="111" t="s">
        <v>27</v>
      </c>
      <c r="BQ25" s="112" t="str">
        <f>VLOOKUP(BN23,【進行】結果入力表!$B$7:$J$78,9,FALSE)</f>
        <v>SBC</v>
      </c>
      <c r="BR25" s="109"/>
      <c r="BS25" s="113"/>
    </row>
    <row r="26" spans="2:72" s="233" customFormat="1" ht="46.5" customHeight="1">
      <c r="B26" s="227" t="str">
        <f>VLOOKUP(C23,【進行】結果入力表!$B$7:$J$78,3,FALSE)</f>
        <v>長谷川進</v>
      </c>
      <c r="C26" s="228"/>
      <c r="D26" s="229"/>
      <c r="E26" s="230" t="s">
        <v>28</v>
      </c>
      <c r="F26" s="231" t="str">
        <f>VLOOKUP(C23,【進行】結果入力表!$B$7:$J$78,8,FALSE)</f>
        <v>平井洸志</v>
      </c>
      <c r="G26" s="228"/>
      <c r="H26" s="232"/>
      <c r="K26" s="227" t="str">
        <f>VLOOKUP(L23,【進行】結果入力表!$B$7:$J$78,3,FALSE)</f>
        <v>井本高史</v>
      </c>
      <c r="L26" s="228"/>
      <c r="M26" s="229"/>
      <c r="N26" s="230" t="s">
        <v>28</v>
      </c>
      <c r="O26" s="231" t="str">
        <f>VLOOKUP(L23,【進行】結果入力表!$B$7:$J$78,8,FALSE)</f>
        <v>宮井健太郎</v>
      </c>
      <c r="P26" s="228"/>
      <c r="Q26" s="232"/>
      <c r="T26" s="227" t="str">
        <f>VLOOKUP(U23,【進行】結果入力表!$B$7:$J$78,3,FALSE)</f>
        <v>金澤茂昌</v>
      </c>
      <c r="U26" s="228"/>
      <c r="V26" s="229"/>
      <c r="W26" s="230" t="s">
        <v>28</v>
      </c>
      <c r="X26" s="231" t="str">
        <f>VLOOKUP(U23,【進行】結果入力表!$B$7:$J$78,8,FALSE)</f>
        <v>金井健太郎</v>
      </c>
      <c r="Y26" s="228"/>
      <c r="Z26" s="232"/>
      <c r="AC26" s="227" t="str">
        <f>VLOOKUP(AD23,【進行】結果入力表!$B$7:$J$78,3,FALSE)</f>
        <v>宮野早織</v>
      </c>
      <c r="AD26" s="228"/>
      <c r="AE26" s="229"/>
      <c r="AF26" s="230" t="s">
        <v>28</v>
      </c>
      <c r="AG26" s="231" t="str">
        <f>VLOOKUP(AD23,【進行】結果入力表!$B$7:$J$78,8,FALSE)</f>
        <v>河地恵里</v>
      </c>
      <c r="AH26" s="228"/>
      <c r="AI26" s="232"/>
      <c r="AL26" s="227" t="str">
        <f>VLOOKUP(AM23,【進行】結果入力表!$B$7:$J$78,3,FALSE)</f>
        <v>吉向翔平</v>
      </c>
      <c r="AM26" s="228"/>
      <c r="AN26" s="229"/>
      <c r="AO26" s="230" t="s">
        <v>28</v>
      </c>
      <c r="AP26" s="231" t="str">
        <f>VLOOKUP(AM23,【進行】結果入力表!$B$7:$J$78,8,FALSE)</f>
        <v>大橋正寛</v>
      </c>
      <c r="AQ26" s="228"/>
      <c r="AR26" s="232"/>
      <c r="AU26" s="227" t="str">
        <f>VLOOKUP(AV23,【進行】結果入力表!$B$7:$J$78,3,FALSE)</f>
        <v>岩本剛</v>
      </c>
      <c r="AV26" s="228"/>
      <c r="AW26" s="229"/>
      <c r="AX26" s="230" t="s">
        <v>28</v>
      </c>
      <c r="AY26" s="231" t="str">
        <f>VLOOKUP(AV23,【進行】結果入力表!$B$7:$J$78,8,FALSE)</f>
        <v>長田智紀</v>
      </c>
      <c r="AZ26" s="228"/>
      <c r="BA26" s="232"/>
      <c r="BD26" s="227" t="str">
        <f>VLOOKUP(BE23,【進行】結果入力表!$B$7:$J$78,3,FALSE)</f>
        <v>長谷川進</v>
      </c>
      <c r="BE26" s="228"/>
      <c r="BF26" s="229"/>
      <c r="BG26" s="230" t="s">
        <v>28</v>
      </c>
      <c r="BH26" s="231" t="str">
        <f>VLOOKUP(BE23,【進行】結果入力表!$B$7:$J$78,8,FALSE)</f>
        <v>西峰久祐</v>
      </c>
      <c r="BI26" s="228"/>
      <c r="BJ26" s="232"/>
      <c r="BM26" s="227" t="str">
        <f>VLOOKUP(BN23,【進行】結果入力表!$B$7:$J$78,3,FALSE)</f>
        <v>井本高史</v>
      </c>
      <c r="BN26" s="228"/>
      <c r="BO26" s="229"/>
      <c r="BP26" s="230" t="s">
        <v>28</v>
      </c>
      <c r="BQ26" s="231" t="str">
        <f>VLOOKUP(BN23,【進行】結果入力表!$B$7:$J$78,8,FALSE)</f>
        <v>大橋義治</v>
      </c>
      <c r="BR26" s="228"/>
      <c r="BS26" s="232"/>
    </row>
    <row r="27" spans="2:72" ht="37.5" customHeight="1">
      <c r="B27" s="118"/>
      <c r="C27" s="49"/>
      <c r="D27" s="50"/>
      <c r="E27" s="115" t="s">
        <v>29</v>
      </c>
      <c r="F27" s="119"/>
      <c r="G27" s="49"/>
      <c r="H27" s="117"/>
      <c r="K27" s="118"/>
      <c r="L27" s="49"/>
      <c r="M27" s="50"/>
      <c r="N27" s="115" t="s">
        <v>29</v>
      </c>
      <c r="O27" s="119"/>
      <c r="P27" s="49"/>
      <c r="Q27" s="117"/>
      <c r="T27" s="118"/>
      <c r="U27" s="49"/>
      <c r="V27" s="50"/>
      <c r="W27" s="115" t="s">
        <v>29</v>
      </c>
      <c r="X27" s="119"/>
      <c r="Y27" s="49"/>
      <c r="Z27" s="117"/>
      <c r="AC27" s="118"/>
      <c r="AD27" s="49"/>
      <c r="AE27" s="50"/>
      <c r="AF27" s="115" t="s">
        <v>29</v>
      </c>
      <c r="AG27" s="119"/>
      <c r="AH27" s="49"/>
      <c r="AI27" s="117"/>
      <c r="AL27" s="118"/>
      <c r="AM27" s="49"/>
      <c r="AN27" s="50"/>
      <c r="AO27" s="115" t="s">
        <v>29</v>
      </c>
      <c r="AP27" s="119"/>
      <c r="AQ27" s="49"/>
      <c r="AR27" s="117"/>
      <c r="AU27" s="118"/>
      <c r="AV27" s="49"/>
      <c r="AW27" s="50"/>
      <c r="AX27" s="115" t="s">
        <v>29</v>
      </c>
      <c r="AY27" s="119"/>
      <c r="AZ27" s="49"/>
      <c r="BA27" s="117"/>
      <c r="BD27" s="118"/>
      <c r="BE27" s="49"/>
      <c r="BF27" s="50"/>
      <c r="BG27" s="115" t="s">
        <v>29</v>
      </c>
      <c r="BH27" s="119"/>
      <c r="BI27" s="49"/>
      <c r="BJ27" s="117"/>
      <c r="BM27" s="118"/>
      <c r="BN27" s="49"/>
      <c r="BO27" s="50"/>
      <c r="BP27" s="115" t="s">
        <v>29</v>
      </c>
      <c r="BQ27" s="119"/>
      <c r="BR27" s="49"/>
      <c r="BS27" s="117"/>
    </row>
    <row r="28" spans="2:72" ht="37.5" customHeight="1">
      <c r="B28" s="120"/>
      <c r="C28" s="121"/>
      <c r="D28" s="122"/>
      <c r="E28" s="123" t="s">
        <v>30</v>
      </c>
      <c r="F28" s="124"/>
      <c r="G28" s="121"/>
      <c r="H28" s="125"/>
      <c r="K28" s="120"/>
      <c r="L28" s="121"/>
      <c r="M28" s="122"/>
      <c r="N28" s="123" t="s">
        <v>30</v>
      </c>
      <c r="O28" s="124"/>
      <c r="P28" s="121"/>
      <c r="Q28" s="125"/>
      <c r="T28" s="120"/>
      <c r="U28" s="121"/>
      <c r="V28" s="122"/>
      <c r="W28" s="123" t="s">
        <v>30</v>
      </c>
      <c r="X28" s="124"/>
      <c r="Y28" s="121"/>
      <c r="Z28" s="125"/>
      <c r="AC28" s="120"/>
      <c r="AD28" s="121"/>
      <c r="AE28" s="122"/>
      <c r="AF28" s="123" t="s">
        <v>30</v>
      </c>
      <c r="AG28" s="124"/>
      <c r="AH28" s="121"/>
      <c r="AI28" s="125"/>
      <c r="AL28" s="120"/>
      <c r="AM28" s="121"/>
      <c r="AN28" s="122"/>
      <c r="AO28" s="123" t="s">
        <v>30</v>
      </c>
      <c r="AP28" s="124"/>
      <c r="AQ28" s="121"/>
      <c r="AR28" s="125"/>
      <c r="AU28" s="120"/>
      <c r="AV28" s="121"/>
      <c r="AW28" s="122"/>
      <c r="AX28" s="123" t="s">
        <v>30</v>
      </c>
      <c r="AY28" s="124"/>
      <c r="AZ28" s="121"/>
      <c r="BA28" s="125"/>
      <c r="BD28" s="120"/>
      <c r="BE28" s="121"/>
      <c r="BF28" s="122"/>
      <c r="BG28" s="123" t="s">
        <v>30</v>
      </c>
      <c r="BH28" s="124"/>
      <c r="BI28" s="121"/>
      <c r="BJ28" s="125"/>
      <c r="BM28" s="120"/>
      <c r="BN28" s="121"/>
      <c r="BO28" s="122"/>
      <c r="BP28" s="123" t="s">
        <v>30</v>
      </c>
      <c r="BQ28" s="124"/>
      <c r="BR28" s="121"/>
      <c r="BS28" s="125"/>
    </row>
    <row r="30" spans="2:72" ht="16.2">
      <c r="D30" s="53"/>
      <c r="E30" s="85" t="s">
        <v>32</v>
      </c>
      <c r="F30" s="235" t="str">
        <f>VLOOKUP(C23,【進行】結果入力表!$B$7:$M$78,11,FALSE)</f>
        <v>SBC</v>
      </c>
      <c r="G30" s="87" t="str">
        <f>VLOOKUP(C23,【進行】結果入力表!$B$7:$M$78,12,FALSE)</f>
        <v>西峰久祐</v>
      </c>
      <c r="H30" s="53"/>
      <c r="M30" s="53"/>
      <c r="N30" s="85" t="s">
        <v>32</v>
      </c>
      <c r="O30" s="235" t="str">
        <f>VLOOKUP(L23,【進行】結果入力表!$B$7:$M$78,11,FALSE)</f>
        <v>SBC</v>
      </c>
      <c r="P30" s="87" t="str">
        <f>VLOOKUP(L23,【進行】結果入力表!$B$7:$M$78,12,FALSE)</f>
        <v>大橋義治</v>
      </c>
      <c r="Q30" s="53"/>
      <c r="V30" s="53"/>
      <c r="W30" s="85" t="s">
        <v>32</v>
      </c>
      <c r="X30" s="235" t="str">
        <f>VLOOKUP(U23,【進行】結果入力表!$B$7:$M$78,11,FALSE)</f>
        <v>SBC</v>
      </c>
      <c r="Y30" s="87" t="str">
        <f>VLOOKUP(U23,【進行】結果入力表!$B$7:$M$78,12,FALSE)</f>
        <v>山中康寛</v>
      </c>
      <c r="Z30" s="53"/>
      <c r="AE30" s="53"/>
      <c r="AF30" s="85" t="s">
        <v>32</v>
      </c>
      <c r="AG30" s="235" t="str">
        <f>VLOOKUP(AD23,【進行】結果入力表!$B$7:$M$78,11,FALSE)</f>
        <v>SBC</v>
      </c>
      <c r="AH30" s="87" t="str">
        <f>VLOOKUP(AD23,【進行】結果入力表!$B$7:$M$78,12,FALSE)</f>
        <v>大橋洋子</v>
      </c>
      <c r="AI30" s="53"/>
      <c r="AN30" s="53"/>
      <c r="AO30" s="85" t="s">
        <v>32</v>
      </c>
      <c r="AP30" s="235" t="str">
        <f>VLOOKUP(AM23,【進行】結果入力表!$B$7:$M$78,11,FALSE)</f>
        <v>HRC</v>
      </c>
      <c r="AQ30" s="87" t="str">
        <f>VLOOKUP(AM23,【進行】結果入力表!$B$7:$M$78,12,FALSE)</f>
        <v>宮本一</v>
      </c>
      <c r="AR30" s="53"/>
      <c r="AW30" s="53"/>
      <c r="AX30" s="85" t="s">
        <v>32</v>
      </c>
      <c r="AY30" s="235" t="str">
        <f>VLOOKUP(AV23,【進行】結果入力表!$B$7:$M$78,11,FALSE)</f>
        <v>HRC</v>
      </c>
      <c r="AZ30" s="87" t="str">
        <f>VLOOKUP(AV23,【進行】結果入力表!$B$7:$M$78,12,FALSE)</f>
        <v>堂園雅也</v>
      </c>
      <c r="BA30" s="53"/>
      <c r="BF30" s="53"/>
      <c r="BG30" s="85" t="s">
        <v>32</v>
      </c>
      <c r="BH30" s="235" t="str">
        <f>VLOOKUP(BE23,【進行】結果入力表!$B$7:$M$78,11,FALSE)</f>
        <v>HRC</v>
      </c>
      <c r="BI30" s="87" t="str">
        <f>VLOOKUP(BE23,【進行】結果入力表!$B$7:$M$78,12,FALSE)</f>
        <v>平井洸志</v>
      </c>
      <c r="BJ30" s="53"/>
      <c r="BO30" s="53"/>
      <c r="BP30" s="85" t="s">
        <v>32</v>
      </c>
      <c r="BQ30" s="235" t="str">
        <f>VLOOKUP(BN23,【進行】結果入力表!$B$7:$M$78,11,FALSE)</f>
        <v>HRC</v>
      </c>
      <c r="BR30" s="87" t="str">
        <f>VLOOKUP(BN23,【進行】結果入力表!$B$7:$M$78,12,FALSE)</f>
        <v>宮井健太郎</v>
      </c>
      <c r="BS30" s="53"/>
    </row>
    <row r="31" spans="2:72" ht="15" customHeight="1">
      <c r="B31" s="54" t="str">
        <f>【結果】個人成績表!$A$1</f>
        <v>第8回　神奈滋対抗戦　　　(奈良；キングスポット)</v>
      </c>
      <c r="C31" s="105"/>
      <c r="D31" s="105"/>
      <c r="E31" s="105"/>
      <c r="F31" s="105"/>
      <c r="G31" s="105"/>
      <c r="H31" s="106"/>
      <c r="K31" s="54" t="str">
        <f>【結果】個人成績表!$A$1</f>
        <v>第8回　神奈滋対抗戦　　　(奈良；キングスポット)</v>
      </c>
      <c r="L31" s="105"/>
      <c r="M31" s="105"/>
      <c r="N31" s="105"/>
      <c r="O31" s="105"/>
      <c r="P31" s="105"/>
      <c r="Q31" s="106"/>
      <c r="T31" s="54" t="str">
        <f>【結果】個人成績表!$A$1</f>
        <v>第8回　神奈滋対抗戦　　　(奈良；キングスポット)</v>
      </c>
      <c r="U31" s="105"/>
      <c r="V31" s="105"/>
      <c r="W31" s="105"/>
      <c r="X31" s="105"/>
      <c r="Y31" s="105"/>
      <c r="Z31" s="106"/>
      <c r="AC31" s="54" t="str">
        <f>【結果】個人成績表!$A$1</f>
        <v>第8回　神奈滋対抗戦　　　(奈良；キングスポット)</v>
      </c>
      <c r="AD31" s="105"/>
      <c r="AE31" s="105"/>
      <c r="AF31" s="105"/>
      <c r="AG31" s="105"/>
      <c r="AH31" s="105"/>
      <c r="AI31" s="106"/>
      <c r="AL31" s="54" t="str">
        <f>【結果】個人成績表!$A$1</f>
        <v>第8回　神奈滋対抗戦　　　(奈良；キングスポット)</v>
      </c>
      <c r="AM31" s="105"/>
      <c r="AN31" s="105"/>
      <c r="AO31" s="105"/>
      <c r="AP31" s="105"/>
      <c r="AQ31" s="105"/>
      <c r="AR31" s="106"/>
      <c r="AU31" s="54" t="str">
        <f>【結果】個人成績表!$A$1</f>
        <v>第8回　神奈滋対抗戦　　　(奈良；キングスポット)</v>
      </c>
      <c r="AV31" s="105"/>
      <c r="AW31" s="105"/>
      <c r="AX31" s="105"/>
      <c r="AY31" s="105"/>
      <c r="AZ31" s="105"/>
      <c r="BA31" s="106"/>
      <c r="BD31" s="54" t="str">
        <f>【結果】個人成績表!$A$1</f>
        <v>第8回　神奈滋対抗戦　　　(奈良；キングスポット)</v>
      </c>
      <c r="BE31" s="105"/>
      <c r="BF31" s="105"/>
      <c r="BG31" s="105"/>
      <c r="BH31" s="105"/>
      <c r="BI31" s="105"/>
      <c r="BJ31" s="106"/>
      <c r="BM31" s="54" t="str">
        <f>【結果】個人成績表!$A$1</f>
        <v>第8回　神奈滋対抗戦　　　(奈良；キングスポット)</v>
      </c>
      <c r="BN31" s="105"/>
      <c r="BO31" s="105"/>
      <c r="BP31" s="105"/>
      <c r="BQ31" s="105"/>
      <c r="BR31" s="105"/>
      <c r="BS31" s="106"/>
      <c r="BT31" t="s">
        <v>23</v>
      </c>
    </row>
    <row r="33" spans="2:72" s="107" customFormat="1" ht="15" customHeight="1">
      <c r="B33" s="53" t="s">
        <v>25</v>
      </c>
      <c r="C33" s="94">
        <f>【進行】結果入力表!B23</f>
        <v>17</v>
      </c>
      <c r="F33" s="53" t="s">
        <v>26</v>
      </c>
      <c r="G33" s="94"/>
      <c r="K33" s="53" t="s">
        <v>25</v>
      </c>
      <c r="L33" s="94">
        <f>【進行】結果入力表!B24</f>
        <v>18</v>
      </c>
      <c r="O33" s="53" t="s">
        <v>26</v>
      </c>
      <c r="P33" s="94"/>
      <c r="T33" s="53" t="s">
        <v>25</v>
      </c>
      <c r="U33" s="94">
        <f>【進行】結果入力表!B25</f>
        <v>19</v>
      </c>
      <c r="X33" s="53" t="s">
        <v>26</v>
      </c>
      <c r="Y33" s="94"/>
      <c r="AC33" s="53" t="s">
        <v>25</v>
      </c>
      <c r="AD33" s="94">
        <f>【進行】結果入力表!B26</f>
        <v>20</v>
      </c>
      <c r="AG33" s="53" t="s">
        <v>26</v>
      </c>
      <c r="AH33" s="94"/>
      <c r="AL33" s="53" t="s">
        <v>25</v>
      </c>
      <c r="AM33" s="94">
        <f>【進行】結果入力表!B27</f>
        <v>21</v>
      </c>
      <c r="AP33" s="53" t="s">
        <v>26</v>
      </c>
      <c r="AQ33" s="94"/>
      <c r="AU33" s="53" t="s">
        <v>25</v>
      </c>
      <c r="AV33" s="94">
        <f>【進行】結果入力表!B28</f>
        <v>22</v>
      </c>
      <c r="AY33" s="53" t="s">
        <v>26</v>
      </c>
      <c r="AZ33" s="94"/>
      <c r="BD33" s="53" t="s">
        <v>25</v>
      </c>
      <c r="BE33" s="94">
        <f>【進行】結果入力表!B29</f>
        <v>23</v>
      </c>
      <c r="BH33" s="53" t="s">
        <v>26</v>
      </c>
      <c r="BI33" s="94"/>
      <c r="BM33" s="53" t="s">
        <v>25</v>
      </c>
      <c r="BN33" s="94">
        <f>【進行】結果入力表!B30</f>
        <v>24</v>
      </c>
      <c r="BQ33" s="53" t="s">
        <v>26</v>
      </c>
      <c r="BR33" s="94"/>
    </row>
    <row r="35" spans="2:72" ht="31.5" customHeight="1">
      <c r="B35" s="108" t="str">
        <f>VLOOKUP(C33,【進行】結果入力表!$B$7:$J$78,2,FALSE)</f>
        <v>NRC</v>
      </c>
      <c r="C35" s="109"/>
      <c r="D35" s="110"/>
      <c r="E35" s="111" t="s">
        <v>27</v>
      </c>
      <c r="F35" s="112" t="str">
        <f>VLOOKUP(C33,【進行】結果入力表!$B$7:$J$78,9,FALSE)</f>
        <v>SBC</v>
      </c>
      <c r="G35" s="109"/>
      <c r="H35" s="113"/>
      <c r="K35" s="108" t="str">
        <f>VLOOKUP(L33,【進行】結果入力表!$B$7:$J$78,2,FALSE)</f>
        <v>NRC</v>
      </c>
      <c r="L35" s="109"/>
      <c r="M35" s="110"/>
      <c r="N35" s="111" t="s">
        <v>27</v>
      </c>
      <c r="O35" s="112" t="str">
        <f>VLOOKUP(L33,【進行】結果入力表!$B$7:$J$78,9,FALSE)</f>
        <v>SBC</v>
      </c>
      <c r="P35" s="109"/>
      <c r="Q35" s="113"/>
      <c r="T35" s="108" t="str">
        <f>VLOOKUP(U33,【進行】結果入力表!$B$7:$J$78,2,FALSE)</f>
        <v>SBC</v>
      </c>
      <c r="U35" s="109"/>
      <c r="V35" s="110"/>
      <c r="W35" s="111" t="s">
        <v>27</v>
      </c>
      <c r="X35" s="112" t="str">
        <f>VLOOKUP(U33,【進行】結果入力表!$B$7:$J$78,9,FALSE)</f>
        <v>HRC</v>
      </c>
      <c r="Y35" s="109"/>
      <c r="Z35" s="113"/>
      <c r="AC35" s="108" t="str">
        <f>VLOOKUP(AD33,【進行】結果入力表!$B$7:$J$78,2,FALSE)</f>
        <v>SBC</v>
      </c>
      <c r="AD35" s="109"/>
      <c r="AE35" s="110"/>
      <c r="AF35" s="111" t="s">
        <v>27</v>
      </c>
      <c r="AG35" s="112" t="str">
        <f>VLOOKUP(AD33,【進行】結果入力表!$B$7:$J$78,9,FALSE)</f>
        <v>HRC</v>
      </c>
      <c r="AH35" s="109"/>
      <c r="AI35" s="113"/>
      <c r="AL35" s="108" t="str">
        <f>VLOOKUP(AM33,【進行】結果入力表!$B$7:$J$78,2,FALSE)</f>
        <v>SBC</v>
      </c>
      <c r="AM35" s="109"/>
      <c r="AN35" s="110"/>
      <c r="AO35" s="111" t="s">
        <v>27</v>
      </c>
      <c r="AP35" s="112" t="str">
        <f>VLOOKUP(AM33,【進行】結果入力表!$B$7:$J$78,9,FALSE)</f>
        <v>HRC</v>
      </c>
      <c r="AQ35" s="109"/>
      <c r="AR35" s="113"/>
      <c r="AU35" s="108" t="str">
        <f>VLOOKUP(AV33,【進行】結果入力表!$B$7:$J$78,2,FALSE)</f>
        <v>SBC</v>
      </c>
      <c r="AV35" s="109"/>
      <c r="AW35" s="110"/>
      <c r="AX35" s="111" t="s">
        <v>27</v>
      </c>
      <c r="AY35" s="112" t="str">
        <f>VLOOKUP(AV33,【進行】結果入力表!$B$7:$J$78,9,FALSE)</f>
        <v>HRC</v>
      </c>
      <c r="AZ35" s="109"/>
      <c r="BA35" s="113"/>
      <c r="BD35" s="108" t="str">
        <f>VLOOKUP(BE33,【進行】結果入力表!$B$7:$J$78,2,FALSE)</f>
        <v>SBC</v>
      </c>
      <c r="BE35" s="109"/>
      <c r="BF35" s="110"/>
      <c r="BG35" s="111" t="s">
        <v>27</v>
      </c>
      <c r="BH35" s="112" t="str">
        <f>VLOOKUP(BE33,【進行】結果入力表!$B$7:$J$78,9,FALSE)</f>
        <v>HRC</v>
      </c>
      <c r="BI35" s="109"/>
      <c r="BJ35" s="113"/>
      <c r="BM35" s="108" t="str">
        <f>VLOOKUP(BN33,【進行】結果入力表!$B$7:$J$78,2,FALSE)</f>
        <v>SBC</v>
      </c>
      <c r="BN35" s="109"/>
      <c r="BO35" s="110"/>
      <c r="BP35" s="111" t="s">
        <v>27</v>
      </c>
      <c r="BQ35" s="112" t="str">
        <f>VLOOKUP(BN33,【進行】結果入力表!$B$7:$J$78,9,FALSE)</f>
        <v>HRC</v>
      </c>
      <c r="BR35" s="109"/>
      <c r="BS35" s="113"/>
    </row>
    <row r="36" spans="2:72" s="233" customFormat="1" ht="46.5" customHeight="1">
      <c r="B36" s="227" t="str">
        <f>VLOOKUP(C33,【進行】結果入力表!$B$7:$J$78,3,FALSE)</f>
        <v>金澤茂昌</v>
      </c>
      <c r="C36" s="228"/>
      <c r="D36" s="229"/>
      <c r="E36" s="230" t="s">
        <v>28</v>
      </c>
      <c r="F36" s="231" t="str">
        <f>VLOOKUP(C33,【進行】結果入力表!$B$7:$J$78,8,FALSE)</f>
        <v>山中康寛</v>
      </c>
      <c r="G36" s="228"/>
      <c r="H36" s="232"/>
      <c r="K36" s="227" t="str">
        <f>VLOOKUP(L33,【進行】結果入力表!$B$7:$J$78,3,FALSE)</f>
        <v>宮野早織</v>
      </c>
      <c r="L36" s="228"/>
      <c r="M36" s="229"/>
      <c r="N36" s="230" t="s">
        <v>28</v>
      </c>
      <c r="O36" s="231" t="str">
        <f>VLOOKUP(L33,【進行】結果入力表!$B$7:$J$78,8,FALSE)</f>
        <v>大橋洋子</v>
      </c>
      <c r="P36" s="228"/>
      <c r="Q36" s="232"/>
      <c r="T36" s="227" t="str">
        <f>VLOOKUP(U33,【進行】結果入力表!$B$7:$J$78,3,FALSE)</f>
        <v>長田智紀</v>
      </c>
      <c r="U36" s="228"/>
      <c r="V36" s="229"/>
      <c r="W36" s="230" t="s">
        <v>28</v>
      </c>
      <c r="X36" s="231" t="str">
        <f>VLOOKUP(U33,【進行】結果入力表!$B$7:$J$78,8,FALSE)</f>
        <v>平井洸志</v>
      </c>
      <c r="Y36" s="228"/>
      <c r="Z36" s="232"/>
      <c r="AC36" s="227" t="str">
        <f>VLOOKUP(AD33,【進行】結果入力表!$B$7:$J$78,3,FALSE)</f>
        <v>西峰久祐</v>
      </c>
      <c r="AD36" s="228"/>
      <c r="AE36" s="229"/>
      <c r="AF36" s="230" t="s">
        <v>28</v>
      </c>
      <c r="AG36" s="231" t="str">
        <f>VLOOKUP(AD33,【進行】結果入力表!$B$7:$J$78,8,FALSE)</f>
        <v>宮井健太郎</v>
      </c>
      <c r="AH36" s="228"/>
      <c r="AI36" s="232"/>
      <c r="AL36" s="227" t="str">
        <f>VLOOKUP(AM33,【進行】結果入力表!$B$7:$J$78,3,FALSE)</f>
        <v>大橋義治</v>
      </c>
      <c r="AM36" s="228"/>
      <c r="AN36" s="229"/>
      <c r="AO36" s="230" t="s">
        <v>28</v>
      </c>
      <c r="AP36" s="231" t="str">
        <f>VLOOKUP(AM33,【進行】結果入力表!$B$7:$J$78,8,FALSE)</f>
        <v>金井健太郎</v>
      </c>
      <c r="AQ36" s="228"/>
      <c r="AR36" s="232"/>
      <c r="AU36" s="227" t="str">
        <f>VLOOKUP(AV33,【進行】結果入力表!$B$7:$J$78,3,FALSE)</f>
        <v>山中康寛</v>
      </c>
      <c r="AV36" s="228"/>
      <c r="AW36" s="229"/>
      <c r="AX36" s="230" t="s">
        <v>28</v>
      </c>
      <c r="AY36" s="231" t="str">
        <f>VLOOKUP(AV33,【進行】結果入力表!$B$7:$J$78,8,FALSE)</f>
        <v>河地恵里</v>
      </c>
      <c r="AZ36" s="228"/>
      <c r="BA36" s="232"/>
      <c r="BD36" s="227" t="str">
        <f>VLOOKUP(BE33,【進行】結果入力表!$B$7:$J$78,3,FALSE)</f>
        <v>大橋洋子</v>
      </c>
      <c r="BE36" s="228"/>
      <c r="BF36" s="229"/>
      <c r="BG36" s="230" t="s">
        <v>28</v>
      </c>
      <c r="BH36" s="231" t="str">
        <f>VLOOKUP(BE33,【進行】結果入力表!$B$7:$J$78,8,FALSE)</f>
        <v>宮本一</v>
      </c>
      <c r="BI36" s="228"/>
      <c r="BJ36" s="232"/>
      <c r="BM36" s="227" t="str">
        <f>VLOOKUP(BN33,【進行】結果入力表!$B$7:$J$78,3,FALSE)</f>
        <v>大橋正寛</v>
      </c>
      <c r="BN36" s="228"/>
      <c r="BO36" s="229"/>
      <c r="BP36" s="230" t="s">
        <v>28</v>
      </c>
      <c r="BQ36" s="231" t="str">
        <f>VLOOKUP(BN33,【進行】結果入力表!$B$7:$J$78,8,FALSE)</f>
        <v>堂園雅也</v>
      </c>
      <c r="BR36" s="228"/>
      <c r="BS36" s="232"/>
    </row>
    <row r="37" spans="2:72" ht="37.5" customHeight="1">
      <c r="B37" s="118"/>
      <c r="C37" s="49"/>
      <c r="D37" s="50"/>
      <c r="E37" s="115" t="s">
        <v>29</v>
      </c>
      <c r="F37" s="119"/>
      <c r="G37" s="49"/>
      <c r="H37" s="117"/>
      <c r="K37" s="118"/>
      <c r="L37" s="49"/>
      <c r="M37" s="50"/>
      <c r="N37" s="115" t="s">
        <v>29</v>
      </c>
      <c r="O37" s="119"/>
      <c r="P37" s="49"/>
      <c r="Q37" s="117"/>
      <c r="T37" s="118"/>
      <c r="U37" s="49"/>
      <c r="V37" s="50"/>
      <c r="W37" s="115" t="s">
        <v>29</v>
      </c>
      <c r="X37" s="119"/>
      <c r="Y37" s="49"/>
      <c r="Z37" s="117"/>
      <c r="AC37" s="118"/>
      <c r="AD37" s="49"/>
      <c r="AE37" s="50"/>
      <c r="AF37" s="115" t="s">
        <v>29</v>
      </c>
      <c r="AG37" s="119"/>
      <c r="AH37" s="49"/>
      <c r="AI37" s="117"/>
      <c r="AL37" s="118"/>
      <c r="AM37" s="49"/>
      <c r="AN37" s="50"/>
      <c r="AO37" s="115" t="s">
        <v>29</v>
      </c>
      <c r="AP37" s="119"/>
      <c r="AQ37" s="49"/>
      <c r="AR37" s="117"/>
      <c r="AU37" s="118"/>
      <c r="AV37" s="49"/>
      <c r="AW37" s="50"/>
      <c r="AX37" s="115" t="s">
        <v>29</v>
      </c>
      <c r="AY37" s="119"/>
      <c r="AZ37" s="49"/>
      <c r="BA37" s="117"/>
      <c r="BD37" s="118"/>
      <c r="BE37" s="49"/>
      <c r="BF37" s="50"/>
      <c r="BG37" s="115" t="s">
        <v>29</v>
      </c>
      <c r="BH37" s="119"/>
      <c r="BI37" s="49"/>
      <c r="BJ37" s="117"/>
      <c r="BM37" s="118"/>
      <c r="BN37" s="49"/>
      <c r="BO37" s="50"/>
      <c r="BP37" s="115" t="s">
        <v>29</v>
      </c>
      <c r="BQ37" s="119"/>
      <c r="BR37" s="49"/>
      <c r="BS37" s="117"/>
    </row>
    <row r="38" spans="2:72" ht="37.5" customHeight="1">
      <c r="B38" s="120"/>
      <c r="C38" s="121"/>
      <c r="D38" s="122"/>
      <c r="E38" s="123" t="s">
        <v>30</v>
      </c>
      <c r="F38" s="124"/>
      <c r="G38" s="121"/>
      <c r="H38" s="125"/>
      <c r="K38" s="120"/>
      <c r="L38" s="121"/>
      <c r="M38" s="122"/>
      <c r="N38" s="123" t="s">
        <v>30</v>
      </c>
      <c r="O38" s="124"/>
      <c r="P38" s="121"/>
      <c r="Q38" s="125"/>
      <c r="T38" s="120"/>
      <c r="U38" s="121"/>
      <c r="V38" s="122"/>
      <c r="W38" s="123" t="s">
        <v>30</v>
      </c>
      <c r="X38" s="124"/>
      <c r="Y38" s="121"/>
      <c r="Z38" s="125"/>
      <c r="AC38" s="120"/>
      <c r="AD38" s="121"/>
      <c r="AE38" s="122"/>
      <c r="AF38" s="123" t="s">
        <v>30</v>
      </c>
      <c r="AG38" s="124"/>
      <c r="AH38" s="121"/>
      <c r="AI38" s="125"/>
      <c r="AL38" s="120"/>
      <c r="AM38" s="121"/>
      <c r="AN38" s="122"/>
      <c r="AO38" s="123" t="s">
        <v>30</v>
      </c>
      <c r="AP38" s="124"/>
      <c r="AQ38" s="121"/>
      <c r="AR38" s="125"/>
      <c r="AU38" s="120"/>
      <c r="AV38" s="121"/>
      <c r="AW38" s="122"/>
      <c r="AX38" s="123" t="s">
        <v>30</v>
      </c>
      <c r="AY38" s="124"/>
      <c r="AZ38" s="121"/>
      <c r="BA38" s="125"/>
      <c r="BD38" s="120"/>
      <c r="BE38" s="121"/>
      <c r="BF38" s="122"/>
      <c r="BG38" s="123" t="s">
        <v>30</v>
      </c>
      <c r="BH38" s="124"/>
      <c r="BI38" s="121"/>
      <c r="BJ38" s="125"/>
      <c r="BM38" s="120"/>
      <c r="BN38" s="121"/>
      <c r="BO38" s="122"/>
      <c r="BP38" s="123" t="s">
        <v>30</v>
      </c>
      <c r="BQ38" s="124"/>
      <c r="BR38" s="121"/>
      <c r="BS38" s="125"/>
    </row>
    <row r="40" spans="2:72" ht="16.2">
      <c r="D40" s="53"/>
      <c r="E40" s="85" t="s">
        <v>32</v>
      </c>
      <c r="F40" s="235" t="str">
        <f>VLOOKUP(C33,【進行】結果入力表!$B$7:$M$78,11,FALSE)</f>
        <v>HRC</v>
      </c>
      <c r="G40" s="87" t="str">
        <f>VLOOKUP(C33,【進行】結果入力表!$B$7:$M$78,12,FALSE)</f>
        <v>金井健太郎</v>
      </c>
      <c r="H40" s="53"/>
      <c r="M40" s="53"/>
      <c r="N40" s="85" t="s">
        <v>32</v>
      </c>
      <c r="O40" s="235" t="str">
        <f>VLOOKUP(L33,【進行】結果入力表!$B$7:$M$78,11,FALSE)</f>
        <v>HRC</v>
      </c>
      <c r="P40" s="87" t="str">
        <f>VLOOKUP(L33,【進行】結果入力表!$B$7:$M$78,12,FALSE)</f>
        <v>河地恵里</v>
      </c>
      <c r="Q40" s="53"/>
      <c r="V40" s="53"/>
      <c r="W40" s="85" t="s">
        <v>32</v>
      </c>
      <c r="X40" s="235" t="str">
        <f>VLOOKUP(U33,【進行】結果入力表!$B$7:$M$78,11,FALSE)</f>
        <v>NRC</v>
      </c>
      <c r="Y40" s="87" t="str">
        <f>VLOOKUP(U33,【進行】結果入力表!$B$7:$M$78,12,FALSE)</f>
        <v>吉向翔平</v>
      </c>
      <c r="Z40" s="53"/>
      <c r="AE40" s="53"/>
      <c r="AF40" s="85" t="s">
        <v>32</v>
      </c>
      <c r="AG40" s="235" t="str">
        <f>VLOOKUP(AD33,【進行】結果入力表!$B$7:$M$78,11,FALSE)</f>
        <v>NRC</v>
      </c>
      <c r="AH40" s="87" t="str">
        <f>VLOOKUP(AD33,【進行】結果入力表!$B$7:$M$78,12,FALSE)</f>
        <v>岩本剛</v>
      </c>
      <c r="AI40" s="53"/>
      <c r="AN40" s="53"/>
      <c r="AO40" s="85" t="s">
        <v>32</v>
      </c>
      <c r="AP40" s="235" t="str">
        <f>VLOOKUP(AM33,【進行】結果入力表!$B$7:$M$78,11,FALSE)</f>
        <v>NRC</v>
      </c>
      <c r="AQ40" s="87" t="str">
        <f>VLOOKUP(AM33,【進行】結果入力表!$B$7:$M$78,12,FALSE)</f>
        <v>長谷川進</v>
      </c>
      <c r="AR40" s="53"/>
      <c r="AW40" s="53"/>
      <c r="AX40" s="85" t="s">
        <v>32</v>
      </c>
      <c r="AY40" s="235" t="str">
        <f>VLOOKUP(AV33,【進行】結果入力表!$B$7:$M$78,11,FALSE)</f>
        <v>NRC</v>
      </c>
      <c r="AZ40" s="87" t="str">
        <f>VLOOKUP(AV33,【進行】結果入力表!$B$7:$M$78,12,FALSE)</f>
        <v>井本高史</v>
      </c>
      <c r="BA40" s="53"/>
      <c r="BF40" s="53"/>
      <c r="BG40" s="85" t="s">
        <v>32</v>
      </c>
      <c r="BH40" s="235" t="str">
        <f>VLOOKUP(BE33,【進行】結果入力表!$B$7:$M$78,11,FALSE)</f>
        <v>NRC</v>
      </c>
      <c r="BI40" s="87" t="str">
        <f>VLOOKUP(BE33,【進行】結果入力表!$B$7:$M$78,12,FALSE)</f>
        <v>金澤茂昌</v>
      </c>
      <c r="BJ40" s="53"/>
      <c r="BO40" s="53"/>
      <c r="BP40" s="85" t="s">
        <v>32</v>
      </c>
      <c r="BQ40" s="235" t="str">
        <f>VLOOKUP(BN33,【進行】結果入力表!$B$7:$M$78,11,FALSE)</f>
        <v>NRC</v>
      </c>
      <c r="BR40" s="87" t="str">
        <f>VLOOKUP(BN33,【進行】結果入力表!$B$7:$M$78,12,FALSE)</f>
        <v>宮野早織</v>
      </c>
      <c r="BS40" s="53"/>
    </row>
    <row r="41" spans="2:72" ht="15" customHeight="1">
      <c r="B41" s="54" t="str">
        <f>【結果】個人成績表!$A$1</f>
        <v>第8回　神奈滋対抗戦　　　(奈良；キングスポット)</v>
      </c>
      <c r="C41" s="105"/>
      <c r="D41" s="105"/>
      <c r="E41" s="105"/>
      <c r="F41" s="105"/>
      <c r="G41" s="105"/>
      <c r="H41" s="106"/>
      <c r="K41" s="54" t="str">
        <f>【結果】個人成績表!$A$1</f>
        <v>第8回　神奈滋対抗戦　　　(奈良；キングスポット)</v>
      </c>
      <c r="L41" s="105"/>
      <c r="M41" s="105"/>
      <c r="N41" s="105"/>
      <c r="O41" s="105"/>
      <c r="P41" s="105"/>
      <c r="Q41" s="106"/>
      <c r="T41" s="54" t="str">
        <f>【結果】個人成績表!$A$1</f>
        <v>第8回　神奈滋対抗戦　　　(奈良；キングスポット)</v>
      </c>
      <c r="U41" s="105"/>
      <c r="V41" s="105"/>
      <c r="W41" s="105"/>
      <c r="X41" s="105"/>
      <c r="Y41" s="105"/>
      <c r="Z41" s="106"/>
      <c r="AC41" s="54" t="str">
        <f>【結果】個人成績表!$A$1</f>
        <v>第8回　神奈滋対抗戦　　　(奈良；キングスポット)</v>
      </c>
      <c r="AD41" s="105"/>
      <c r="AE41" s="105"/>
      <c r="AF41" s="105"/>
      <c r="AG41" s="105"/>
      <c r="AH41" s="105"/>
      <c r="AI41" s="106"/>
      <c r="AL41" s="54" t="str">
        <f>【結果】個人成績表!$A$1</f>
        <v>第8回　神奈滋対抗戦　　　(奈良；キングスポット)</v>
      </c>
      <c r="AM41" s="105"/>
      <c r="AN41" s="105"/>
      <c r="AO41" s="105"/>
      <c r="AP41" s="105"/>
      <c r="AQ41" s="105"/>
      <c r="AR41" s="106"/>
      <c r="AU41" s="54" t="str">
        <f>【結果】個人成績表!$A$1</f>
        <v>第8回　神奈滋対抗戦　　　(奈良；キングスポット)</v>
      </c>
      <c r="AV41" s="105"/>
      <c r="AW41" s="105"/>
      <c r="AX41" s="105"/>
      <c r="AY41" s="105"/>
      <c r="AZ41" s="105"/>
      <c r="BA41" s="106"/>
      <c r="BD41" s="54" t="str">
        <f>【結果】個人成績表!$A$1</f>
        <v>第8回　神奈滋対抗戦　　　(奈良；キングスポット)</v>
      </c>
      <c r="BE41" s="105"/>
      <c r="BF41" s="105"/>
      <c r="BG41" s="105"/>
      <c r="BH41" s="105"/>
      <c r="BI41" s="105"/>
      <c r="BJ41" s="106"/>
      <c r="BM41" s="54" t="str">
        <f>【結果】個人成績表!$A$1</f>
        <v>第8回　神奈滋対抗戦　　　(奈良；キングスポット)</v>
      </c>
      <c r="BN41" s="105"/>
      <c r="BO41" s="105"/>
      <c r="BP41" s="105"/>
      <c r="BQ41" s="105"/>
      <c r="BR41" s="105"/>
      <c r="BS41" s="106"/>
      <c r="BT41" t="s">
        <v>23</v>
      </c>
    </row>
    <row r="43" spans="2:72" s="107" customFormat="1" ht="15" customHeight="1">
      <c r="B43" s="53" t="s">
        <v>25</v>
      </c>
      <c r="C43" s="94">
        <f>【進行】結果入力表!B31</f>
        <v>25</v>
      </c>
      <c r="F43" s="53" t="s">
        <v>26</v>
      </c>
      <c r="G43" s="94"/>
      <c r="K43" s="53" t="s">
        <v>25</v>
      </c>
      <c r="L43" s="94">
        <f>【進行】結果入力表!B32</f>
        <v>26</v>
      </c>
      <c r="O43" s="53" t="s">
        <v>26</v>
      </c>
      <c r="P43" s="94"/>
      <c r="T43" s="53" t="s">
        <v>25</v>
      </c>
      <c r="U43" s="94">
        <f>【進行】結果入力表!B33</f>
        <v>27</v>
      </c>
      <c r="X43" s="53" t="s">
        <v>26</v>
      </c>
      <c r="Y43" s="94"/>
      <c r="AC43" s="53" t="s">
        <v>25</v>
      </c>
      <c r="AD43" s="94">
        <f>【進行】結果入力表!B34</f>
        <v>28</v>
      </c>
      <c r="AG43" s="53" t="s">
        <v>26</v>
      </c>
      <c r="AH43" s="94"/>
      <c r="AL43" s="53" t="s">
        <v>25</v>
      </c>
      <c r="AM43" s="94">
        <f>【進行】結果入力表!B35</f>
        <v>29</v>
      </c>
      <c r="AP43" s="53" t="s">
        <v>26</v>
      </c>
      <c r="AQ43" s="94"/>
      <c r="AU43" s="53" t="s">
        <v>25</v>
      </c>
      <c r="AV43" s="94">
        <f>【進行】結果入力表!B36</f>
        <v>30</v>
      </c>
      <c r="AY43" s="53" t="s">
        <v>26</v>
      </c>
      <c r="AZ43" s="94"/>
      <c r="BD43" s="53" t="s">
        <v>25</v>
      </c>
      <c r="BE43" s="94">
        <f>【進行】結果入力表!B37</f>
        <v>31</v>
      </c>
      <c r="BH43" s="53" t="s">
        <v>26</v>
      </c>
      <c r="BI43" s="94"/>
      <c r="BM43" s="53" t="s">
        <v>25</v>
      </c>
      <c r="BN43" s="94">
        <f>【進行】結果入力表!B38</f>
        <v>32</v>
      </c>
      <c r="BQ43" s="53" t="s">
        <v>26</v>
      </c>
      <c r="BR43" s="94"/>
    </row>
    <row r="45" spans="2:72" ht="31.5" customHeight="1">
      <c r="B45" s="108" t="str">
        <f>VLOOKUP(C43,【進行】結果入力表!$B$7:$J$78,2,FALSE)</f>
        <v>NRC</v>
      </c>
      <c r="C45" s="109"/>
      <c r="D45" s="110"/>
      <c r="E45" s="111" t="s">
        <v>27</v>
      </c>
      <c r="F45" s="112" t="str">
        <f>VLOOKUP(C43,【進行】結果入力表!$B$7:$J$78,9,FALSE)</f>
        <v>HRC</v>
      </c>
      <c r="G45" s="109"/>
      <c r="H45" s="113"/>
      <c r="K45" s="108" t="str">
        <f>VLOOKUP(L43,【進行】結果入力表!$B$7:$J$78,2,FALSE)</f>
        <v>NRC</v>
      </c>
      <c r="L45" s="109"/>
      <c r="M45" s="110"/>
      <c r="N45" s="111" t="s">
        <v>27</v>
      </c>
      <c r="O45" s="112" t="str">
        <f>VLOOKUP(L43,【進行】結果入力表!$B$7:$J$78,9,FALSE)</f>
        <v>HRC</v>
      </c>
      <c r="P45" s="109"/>
      <c r="Q45" s="113"/>
      <c r="T45" s="108" t="str">
        <f>VLOOKUP(U43,【進行】結果入力表!$B$7:$J$78,2,FALSE)</f>
        <v>NRC</v>
      </c>
      <c r="U45" s="109"/>
      <c r="V45" s="110"/>
      <c r="W45" s="111" t="s">
        <v>27</v>
      </c>
      <c r="X45" s="112" t="str">
        <f>VLOOKUP(U43,【進行】結果入力表!$B$7:$J$78,9,FALSE)</f>
        <v>HRC</v>
      </c>
      <c r="Y45" s="109"/>
      <c r="Z45" s="113"/>
      <c r="AC45" s="108" t="str">
        <f>VLOOKUP(AD43,【進行】結果入力表!$B$7:$J$78,2,FALSE)</f>
        <v>NRC</v>
      </c>
      <c r="AD45" s="109"/>
      <c r="AE45" s="110"/>
      <c r="AF45" s="111" t="s">
        <v>27</v>
      </c>
      <c r="AG45" s="112" t="str">
        <f>VLOOKUP(AD43,【進行】結果入力表!$B$7:$J$78,9,FALSE)</f>
        <v>HRC</v>
      </c>
      <c r="AH45" s="109"/>
      <c r="AI45" s="113"/>
      <c r="AL45" s="108" t="str">
        <f>VLOOKUP(AM43,【進行】結果入力表!$B$7:$J$78,2,FALSE)</f>
        <v>NRC</v>
      </c>
      <c r="AM45" s="109"/>
      <c r="AN45" s="110"/>
      <c r="AO45" s="111" t="s">
        <v>27</v>
      </c>
      <c r="AP45" s="112" t="str">
        <f>VLOOKUP(AM43,【進行】結果入力表!$B$7:$J$78,9,FALSE)</f>
        <v>HRC</v>
      </c>
      <c r="AQ45" s="109"/>
      <c r="AR45" s="113"/>
      <c r="AU45" s="108" t="str">
        <f>VLOOKUP(AV43,【進行】結果入力表!$B$7:$J$78,2,FALSE)</f>
        <v>NRC</v>
      </c>
      <c r="AV45" s="109"/>
      <c r="AW45" s="110"/>
      <c r="AX45" s="111" t="s">
        <v>27</v>
      </c>
      <c r="AY45" s="112" t="str">
        <f>VLOOKUP(AV43,【進行】結果入力表!$B$7:$J$78,9,FALSE)</f>
        <v>HRC</v>
      </c>
      <c r="AZ45" s="109"/>
      <c r="BA45" s="113"/>
      <c r="BD45" s="108" t="str">
        <f>VLOOKUP(BE43,【進行】結果入力表!$B$7:$J$78,2,FALSE)</f>
        <v>NRC</v>
      </c>
      <c r="BE45" s="109"/>
      <c r="BF45" s="110"/>
      <c r="BG45" s="111" t="s">
        <v>27</v>
      </c>
      <c r="BH45" s="112" t="str">
        <f>VLOOKUP(BE43,【進行】結果入力表!$B$7:$J$78,9,FALSE)</f>
        <v>SBC</v>
      </c>
      <c r="BI45" s="109"/>
      <c r="BJ45" s="113"/>
      <c r="BM45" s="108" t="str">
        <f>VLOOKUP(BN43,【進行】結果入力表!$B$7:$J$78,2,FALSE)</f>
        <v>NRC</v>
      </c>
      <c r="BN45" s="109"/>
      <c r="BO45" s="110"/>
      <c r="BP45" s="111" t="s">
        <v>27</v>
      </c>
      <c r="BQ45" s="112" t="str">
        <f>VLOOKUP(BN43,【進行】結果入力表!$B$7:$J$78,9,FALSE)</f>
        <v>SBC</v>
      </c>
      <c r="BR45" s="109"/>
      <c r="BS45" s="113"/>
    </row>
    <row r="46" spans="2:72" s="233" customFormat="1" ht="46.5" customHeight="1">
      <c r="B46" s="227" t="str">
        <f>VLOOKUP(C43,【進行】結果入力表!$B$7:$J$78,3,FALSE)</f>
        <v>吉向翔平</v>
      </c>
      <c r="C46" s="228"/>
      <c r="D46" s="229"/>
      <c r="E46" s="230" t="s">
        <v>28</v>
      </c>
      <c r="F46" s="231" t="str">
        <f>VLOOKUP(C43,【進行】結果入力表!$B$7:$J$78,8,FALSE)</f>
        <v>平井洸志</v>
      </c>
      <c r="G46" s="228"/>
      <c r="H46" s="232"/>
      <c r="K46" s="227" t="str">
        <f>VLOOKUP(L43,【進行】結果入力表!$B$7:$J$78,3,FALSE)</f>
        <v>岩本剛</v>
      </c>
      <c r="L46" s="228"/>
      <c r="M46" s="229"/>
      <c r="N46" s="230" t="s">
        <v>28</v>
      </c>
      <c r="O46" s="231" t="str">
        <f>VLOOKUP(L43,【進行】結果入力表!$B$7:$J$78,8,FALSE)</f>
        <v>宮井健太郎</v>
      </c>
      <c r="P46" s="228"/>
      <c r="Q46" s="232"/>
      <c r="T46" s="227" t="str">
        <f>VLOOKUP(U43,【進行】結果入力表!$B$7:$J$78,3,FALSE)</f>
        <v>長谷川進</v>
      </c>
      <c r="U46" s="228"/>
      <c r="V46" s="229"/>
      <c r="W46" s="230" t="s">
        <v>28</v>
      </c>
      <c r="X46" s="231" t="str">
        <f>VLOOKUP(U43,【進行】結果入力表!$B$7:$J$78,8,FALSE)</f>
        <v>金井健太郎</v>
      </c>
      <c r="Y46" s="228"/>
      <c r="Z46" s="232"/>
      <c r="AC46" s="227" t="str">
        <f>VLOOKUP(AD43,【進行】結果入力表!$B$7:$J$78,3,FALSE)</f>
        <v>井本高史</v>
      </c>
      <c r="AD46" s="228"/>
      <c r="AE46" s="229"/>
      <c r="AF46" s="230" t="s">
        <v>28</v>
      </c>
      <c r="AG46" s="231" t="str">
        <f>VLOOKUP(AD43,【進行】結果入力表!$B$7:$J$78,8,FALSE)</f>
        <v>河地恵里</v>
      </c>
      <c r="AH46" s="228"/>
      <c r="AI46" s="232"/>
      <c r="AL46" s="227" t="str">
        <f>VLOOKUP(AM43,【進行】結果入力表!$B$7:$J$78,3,FALSE)</f>
        <v>金澤茂昌</v>
      </c>
      <c r="AM46" s="228"/>
      <c r="AN46" s="229"/>
      <c r="AO46" s="230" t="s">
        <v>28</v>
      </c>
      <c r="AP46" s="231" t="str">
        <f>VLOOKUP(AM43,【進行】結果入力表!$B$7:$J$78,8,FALSE)</f>
        <v>宮本一</v>
      </c>
      <c r="AQ46" s="228"/>
      <c r="AR46" s="232"/>
      <c r="AU46" s="227" t="str">
        <f>VLOOKUP(AV43,【進行】結果入力表!$B$7:$J$78,3,FALSE)</f>
        <v>宮野早織</v>
      </c>
      <c r="AV46" s="228"/>
      <c r="AW46" s="229"/>
      <c r="AX46" s="230" t="s">
        <v>28</v>
      </c>
      <c r="AY46" s="231" t="str">
        <f>VLOOKUP(AV43,【進行】結果入力表!$B$7:$J$78,8,FALSE)</f>
        <v>堂園雅也</v>
      </c>
      <c r="AZ46" s="228"/>
      <c r="BA46" s="232"/>
      <c r="BD46" s="227" t="str">
        <f>VLOOKUP(BE43,【進行】結果入力表!$B$7:$J$78,3,FALSE)</f>
        <v>吉向翔平</v>
      </c>
      <c r="BE46" s="228"/>
      <c r="BF46" s="229"/>
      <c r="BG46" s="230" t="s">
        <v>28</v>
      </c>
      <c r="BH46" s="231" t="str">
        <f>VLOOKUP(BE43,【進行】結果入力表!$B$7:$J$78,8,FALSE)</f>
        <v>長田智紀</v>
      </c>
      <c r="BI46" s="228"/>
      <c r="BJ46" s="232"/>
      <c r="BM46" s="227" t="str">
        <f>VLOOKUP(BN43,【進行】結果入力表!$B$7:$J$78,3,FALSE)</f>
        <v>岩本剛</v>
      </c>
      <c r="BN46" s="228"/>
      <c r="BO46" s="229"/>
      <c r="BP46" s="230" t="s">
        <v>28</v>
      </c>
      <c r="BQ46" s="231" t="str">
        <f>VLOOKUP(BN43,【進行】結果入力表!$B$7:$J$78,8,FALSE)</f>
        <v>西峰久祐</v>
      </c>
      <c r="BR46" s="228"/>
      <c r="BS46" s="232"/>
    </row>
    <row r="47" spans="2:72" ht="37.5" customHeight="1">
      <c r="B47" s="118"/>
      <c r="C47" s="49"/>
      <c r="D47" s="50"/>
      <c r="E47" s="115" t="s">
        <v>29</v>
      </c>
      <c r="F47" s="119"/>
      <c r="G47" s="49"/>
      <c r="H47" s="117"/>
      <c r="K47" s="118"/>
      <c r="L47" s="49"/>
      <c r="M47" s="50"/>
      <c r="N47" s="115" t="s">
        <v>29</v>
      </c>
      <c r="O47" s="119"/>
      <c r="P47" s="49"/>
      <c r="Q47" s="117"/>
      <c r="T47" s="118"/>
      <c r="U47" s="49"/>
      <c r="V47" s="50"/>
      <c r="W47" s="115" t="s">
        <v>29</v>
      </c>
      <c r="X47" s="119"/>
      <c r="Y47" s="49"/>
      <c r="Z47" s="117"/>
      <c r="AC47" s="118"/>
      <c r="AD47" s="49"/>
      <c r="AE47" s="50"/>
      <c r="AF47" s="115" t="s">
        <v>29</v>
      </c>
      <c r="AG47" s="119"/>
      <c r="AH47" s="49"/>
      <c r="AI47" s="117"/>
      <c r="AL47" s="118"/>
      <c r="AM47" s="49"/>
      <c r="AN47" s="50"/>
      <c r="AO47" s="115" t="s">
        <v>29</v>
      </c>
      <c r="AP47" s="119"/>
      <c r="AQ47" s="49"/>
      <c r="AR47" s="117"/>
      <c r="AU47" s="118"/>
      <c r="AV47" s="49"/>
      <c r="AW47" s="50"/>
      <c r="AX47" s="115" t="s">
        <v>29</v>
      </c>
      <c r="AY47" s="119"/>
      <c r="AZ47" s="49"/>
      <c r="BA47" s="117"/>
      <c r="BD47" s="118"/>
      <c r="BE47" s="49"/>
      <c r="BF47" s="50"/>
      <c r="BG47" s="115" t="s">
        <v>29</v>
      </c>
      <c r="BH47" s="119"/>
      <c r="BI47" s="49"/>
      <c r="BJ47" s="117"/>
      <c r="BM47" s="118"/>
      <c r="BN47" s="49"/>
      <c r="BO47" s="50"/>
      <c r="BP47" s="115" t="s">
        <v>29</v>
      </c>
      <c r="BQ47" s="119"/>
      <c r="BR47" s="49"/>
      <c r="BS47" s="117"/>
    </row>
    <row r="48" spans="2:72" ht="37.5" customHeight="1">
      <c r="B48" s="120"/>
      <c r="C48" s="121"/>
      <c r="D48" s="122"/>
      <c r="E48" s="123" t="s">
        <v>30</v>
      </c>
      <c r="F48" s="124"/>
      <c r="G48" s="121"/>
      <c r="H48" s="125"/>
      <c r="K48" s="120"/>
      <c r="L48" s="121"/>
      <c r="M48" s="122"/>
      <c r="N48" s="123" t="s">
        <v>30</v>
      </c>
      <c r="O48" s="124"/>
      <c r="P48" s="121"/>
      <c r="Q48" s="125"/>
      <c r="T48" s="120"/>
      <c r="U48" s="121"/>
      <c r="V48" s="122"/>
      <c r="W48" s="123" t="s">
        <v>30</v>
      </c>
      <c r="X48" s="124"/>
      <c r="Y48" s="121"/>
      <c r="Z48" s="125"/>
      <c r="AC48" s="120"/>
      <c r="AD48" s="121"/>
      <c r="AE48" s="122"/>
      <c r="AF48" s="123" t="s">
        <v>30</v>
      </c>
      <c r="AG48" s="124"/>
      <c r="AH48" s="121"/>
      <c r="AI48" s="125"/>
      <c r="AL48" s="120"/>
      <c r="AM48" s="121"/>
      <c r="AN48" s="122"/>
      <c r="AO48" s="123" t="s">
        <v>30</v>
      </c>
      <c r="AP48" s="124"/>
      <c r="AQ48" s="121"/>
      <c r="AR48" s="125"/>
      <c r="AU48" s="120"/>
      <c r="AV48" s="121"/>
      <c r="AW48" s="122"/>
      <c r="AX48" s="123" t="s">
        <v>30</v>
      </c>
      <c r="AY48" s="124"/>
      <c r="AZ48" s="121"/>
      <c r="BA48" s="125"/>
      <c r="BD48" s="120"/>
      <c r="BE48" s="121"/>
      <c r="BF48" s="122"/>
      <c r="BG48" s="123" t="s">
        <v>30</v>
      </c>
      <c r="BH48" s="124"/>
      <c r="BI48" s="121"/>
      <c r="BJ48" s="125"/>
      <c r="BM48" s="120"/>
      <c r="BN48" s="121"/>
      <c r="BO48" s="122"/>
      <c r="BP48" s="123" t="s">
        <v>30</v>
      </c>
      <c r="BQ48" s="124"/>
      <c r="BR48" s="121"/>
      <c r="BS48" s="125"/>
    </row>
    <row r="50" spans="2:72" ht="16.2">
      <c r="D50" s="53"/>
      <c r="E50" s="85" t="s">
        <v>32</v>
      </c>
      <c r="F50" s="235" t="str">
        <f>VLOOKUP(C43,【進行】結果入力表!$B$7:$M$78,11,FALSE)</f>
        <v>SBC</v>
      </c>
      <c r="G50" s="87" t="str">
        <f>VLOOKUP(C43,【進行】結果入力表!$B$7:$M$78,12,FALSE)</f>
        <v>長田智紀</v>
      </c>
      <c r="H50" s="53"/>
      <c r="M50" s="53"/>
      <c r="N50" s="85" t="s">
        <v>32</v>
      </c>
      <c r="O50" s="235" t="str">
        <f>VLOOKUP(L43,【進行】結果入力表!$B$7:$M$78,11,FALSE)</f>
        <v>SBC</v>
      </c>
      <c r="P50" s="87" t="str">
        <f>VLOOKUP(L43,【進行】結果入力表!$B$7:$M$78,12,FALSE)</f>
        <v>西峰久祐</v>
      </c>
      <c r="Q50" s="53"/>
      <c r="V50" s="53"/>
      <c r="W50" s="85" t="s">
        <v>32</v>
      </c>
      <c r="X50" s="235" t="str">
        <f>VLOOKUP(U43,【進行】結果入力表!$B$7:$M$78,11,FALSE)</f>
        <v>SBC</v>
      </c>
      <c r="Y50" s="87" t="str">
        <f>VLOOKUP(U43,【進行】結果入力表!$B$7:$M$78,12,FALSE)</f>
        <v>大橋義治</v>
      </c>
      <c r="Z50" s="53"/>
      <c r="AE50" s="53"/>
      <c r="AF50" s="85" t="s">
        <v>32</v>
      </c>
      <c r="AG50" s="235" t="str">
        <f>VLOOKUP(AD43,【進行】結果入力表!$B$7:$M$78,11,FALSE)</f>
        <v>SBC</v>
      </c>
      <c r="AH50" s="87" t="str">
        <f>VLOOKUP(AD43,【進行】結果入力表!$B$7:$M$78,12,FALSE)</f>
        <v>山中康寛</v>
      </c>
      <c r="AI50" s="53"/>
      <c r="AN50" s="53"/>
      <c r="AO50" s="85" t="s">
        <v>32</v>
      </c>
      <c r="AP50" s="235" t="str">
        <f>VLOOKUP(AM43,【進行】結果入力表!$B$7:$M$78,11,FALSE)</f>
        <v>SBC</v>
      </c>
      <c r="AQ50" s="87" t="str">
        <f>VLOOKUP(AM43,【進行】結果入力表!$B$7:$M$78,12,FALSE)</f>
        <v>大橋洋子</v>
      </c>
      <c r="AR50" s="53"/>
      <c r="AW50" s="53"/>
      <c r="AX50" s="85" t="s">
        <v>32</v>
      </c>
      <c r="AY50" s="235" t="str">
        <f>VLOOKUP(AV43,【進行】結果入力表!$B$7:$M$78,11,FALSE)</f>
        <v>SBC</v>
      </c>
      <c r="AZ50" s="87" t="str">
        <f>VLOOKUP(AV43,【進行】結果入力表!$B$7:$M$78,12,FALSE)</f>
        <v>大橋正寛</v>
      </c>
      <c r="BA50" s="53"/>
      <c r="BF50" s="53"/>
      <c r="BG50" s="85" t="s">
        <v>32</v>
      </c>
      <c r="BH50" s="235" t="str">
        <f>VLOOKUP(BE43,【進行】結果入力表!$B$7:$M$78,11,FALSE)</f>
        <v>HRC</v>
      </c>
      <c r="BI50" s="87" t="str">
        <f>VLOOKUP(BE43,【進行】結果入力表!$B$7:$M$78,12,FALSE)</f>
        <v>平井洸志</v>
      </c>
      <c r="BJ50" s="53"/>
      <c r="BO50" s="53"/>
      <c r="BP50" s="85" t="s">
        <v>32</v>
      </c>
      <c r="BQ50" s="235" t="str">
        <f>VLOOKUP(BN43,【進行】結果入力表!$B$7:$M$78,11,FALSE)</f>
        <v>HRC</v>
      </c>
      <c r="BR50" s="87" t="str">
        <f>VLOOKUP(BN43,【進行】結果入力表!$B$7:$M$78,12,FALSE)</f>
        <v>宮井健太郎</v>
      </c>
      <c r="BS50" s="53"/>
    </row>
    <row r="51" spans="2:72" ht="15" customHeight="1">
      <c r="B51" s="54" t="str">
        <f>【結果】個人成績表!$A$1</f>
        <v>第8回　神奈滋対抗戦　　　(奈良；キングスポット)</v>
      </c>
      <c r="C51" s="105"/>
      <c r="D51" s="105"/>
      <c r="E51" s="105"/>
      <c r="F51" s="105"/>
      <c r="G51" s="105"/>
      <c r="H51" s="106"/>
      <c r="K51" s="54" t="str">
        <f>【結果】個人成績表!$A$1</f>
        <v>第8回　神奈滋対抗戦　　　(奈良；キングスポット)</v>
      </c>
      <c r="L51" s="105"/>
      <c r="M51" s="105"/>
      <c r="N51" s="105"/>
      <c r="O51" s="105"/>
      <c r="P51" s="105"/>
      <c r="Q51" s="106"/>
      <c r="T51" s="54" t="str">
        <f>【結果】個人成績表!$A$1</f>
        <v>第8回　神奈滋対抗戦　　　(奈良；キングスポット)</v>
      </c>
      <c r="U51" s="105"/>
      <c r="V51" s="105"/>
      <c r="W51" s="105"/>
      <c r="X51" s="105"/>
      <c r="Y51" s="105"/>
      <c r="Z51" s="106"/>
      <c r="AC51" s="54" t="str">
        <f>【結果】個人成績表!$A$1</f>
        <v>第8回　神奈滋対抗戦　　　(奈良；キングスポット)</v>
      </c>
      <c r="AD51" s="105"/>
      <c r="AE51" s="105"/>
      <c r="AF51" s="105"/>
      <c r="AG51" s="105"/>
      <c r="AH51" s="105"/>
      <c r="AI51" s="106"/>
      <c r="AL51" s="54" t="str">
        <f>【結果】個人成績表!$A$1</f>
        <v>第8回　神奈滋対抗戦　　　(奈良；キングスポット)</v>
      </c>
      <c r="AM51" s="105"/>
      <c r="AN51" s="105"/>
      <c r="AO51" s="105"/>
      <c r="AP51" s="105"/>
      <c r="AQ51" s="105"/>
      <c r="AR51" s="106"/>
      <c r="AU51" s="54" t="str">
        <f>【結果】個人成績表!$A$1</f>
        <v>第8回　神奈滋対抗戦　　　(奈良；キングスポット)</v>
      </c>
      <c r="AV51" s="105"/>
      <c r="AW51" s="105"/>
      <c r="AX51" s="105"/>
      <c r="AY51" s="105"/>
      <c r="AZ51" s="105"/>
      <c r="BA51" s="106"/>
      <c r="BD51" s="54" t="str">
        <f>【結果】個人成績表!$A$1</f>
        <v>第8回　神奈滋対抗戦　　　(奈良；キングスポット)</v>
      </c>
      <c r="BE51" s="105"/>
      <c r="BF51" s="105"/>
      <c r="BG51" s="105"/>
      <c r="BH51" s="105"/>
      <c r="BI51" s="105"/>
      <c r="BJ51" s="106"/>
      <c r="BM51" s="54" t="str">
        <f>【結果】個人成績表!$A$1</f>
        <v>第8回　神奈滋対抗戦　　　(奈良；キングスポット)</v>
      </c>
      <c r="BN51" s="105"/>
      <c r="BO51" s="105"/>
      <c r="BP51" s="105"/>
      <c r="BQ51" s="105"/>
      <c r="BR51" s="105"/>
      <c r="BS51" s="106"/>
      <c r="BT51" t="s">
        <v>23</v>
      </c>
    </row>
    <row r="53" spans="2:72" s="107" customFormat="1" ht="15" customHeight="1">
      <c r="B53" s="53" t="s">
        <v>25</v>
      </c>
      <c r="C53" s="94">
        <f>【進行】結果入力表!B39</f>
        <v>33</v>
      </c>
      <c r="F53" s="53" t="s">
        <v>26</v>
      </c>
      <c r="G53" s="94"/>
      <c r="K53" s="53" t="s">
        <v>25</v>
      </c>
      <c r="L53" s="94">
        <f>【進行】結果入力表!B40</f>
        <v>34</v>
      </c>
      <c r="O53" s="53" t="s">
        <v>26</v>
      </c>
      <c r="P53" s="94"/>
      <c r="T53" s="53" t="s">
        <v>25</v>
      </c>
      <c r="U53" s="94">
        <f>【進行】結果入力表!B41</f>
        <v>35</v>
      </c>
      <c r="X53" s="53" t="s">
        <v>26</v>
      </c>
      <c r="Y53" s="94"/>
      <c r="AC53" s="53" t="s">
        <v>25</v>
      </c>
      <c r="AD53" s="94">
        <f>【進行】結果入力表!B42</f>
        <v>36</v>
      </c>
      <c r="AG53" s="53" t="s">
        <v>26</v>
      </c>
      <c r="AH53" s="94"/>
      <c r="AL53" s="53" t="s">
        <v>25</v>
      </c>
      <c r="AM53" s="94">
        <f>【進行】結果入力表!B43</f>
        <v>37</v>
      </c>
      <c r="AP53" s="53" t="s">
        <v>26</v>
      </c>
      <c r="AQ53" s="94"/>
      <c r="AU53" s="53" t="s">
        <v>25</v>
      </c>
      <c r="AV53" s="94">
        <f>【進行】結果入力表!B44</f>
        <v>38</v>
      </c>
      <c r="AY53" s="53" t="s">
        <v>26</v>
      </c>
      <c r="AZ53" s="94"/>
      <c r="BD53" s="53" t="s">
        <v>25</v>
      </c>
      <c r="BE53" s="94">
        <f>【進行】結果入力表!B45</f>
        <v>39</v>
      </c>
      <c r="BH53" s="53" t="s">
        <v>26</v>
      </c>
      <c r="BI53" s="94"/>
      <c r="BM53" s="53" t="s">
        <v>25</v>
      </c>
      <c r="BN53" s="94">
        <f>【進行】結果入力表!B46</f>
        <v>40</v>
      </c>
      <c r="BQ53" s="53" t="s">
        <v>26</v>
      </c>
      <c r="BR53" s="94"/>
    </row>
    <row r="55" spans="2:72" ht="31.5" customHeight="1">
      <c r="B55" s="108" t="str">
        <f>VLOOKUP(C53,【進行】結果入力表!$B$7:$J$78,2,FALSE)</f>
        <v>NRC</v>
      </c>
      <c r="C55" s="109"/>
      <c r="D55" s="110"/>
      <c r="E55" s="111" t="s">
        <v>27</v>
      </c>
      <c r="F55" s="112" t="str">
        <f>VLOOKUP(C53,【進行】結果入力表!$B$7:$J$78,9,FALSE)</f>
        <v>SBC</v>
      </c>
      <c r="G55" s="109"/>
      <c r="H55" s="113"/>
      <c r="K55" s="108" t="str">
        <f>VLOOKUP(L53,【進行】結果入力表!$B$7:$J$78,2,FALSE)</f>
        <v>NRC</v>
      </c>
      <c r="L55" s="109"/>
      <c r="M55" s="110"/>
      <c r="N55" s="111" t="s">
        <v>27</v>
      </c>
      <c r="O55" s="112" t="str">
        <f>VLOOKUP(L53,【進行】結果入力表!$B$7:$J$78,9,FALSE)</f>
        <v>SBC</v>
      </c>
      <c r="P55" s="109"/>
      <c r="Q55" s="113"/>
      <c r="T55" s="108" t="str">
        <f>VLOOKUP(U53,【進行】結果入力表!$B$7:$J$78,2,FALSE)</f>
        <v>NRC</v>
      </c>
      <c r="U55" s="109"/>
      <c r="V55" s="110"/>
      <c r="W55" s="111" t="s">
        <v>27</v>
      </c>
      <c r="X55" s="112" t="str">
        <f>VLOOKUP(U53,【進行】結果入力表!$B$7:$J$78,9,FALSE)</f>
        <v>SBC</v>
      </c>
      <c r="Y55" s="109"/>
      <c r="Z55" s="113"/>
      <c r="AC55" s="108" t="str">
        <f>VLOOKUP(AD53,【進行】結果入力表!$B$7:$J$78,2,FALSE)</f>
        <v>NRC</v>
      </c>
      <c r="AD55" s="109"/>
      <c r="AE55" s="110"/>
      <c r="AF55" s="111" t="s">
        <v>27</v>
      </c>
      <c r="AG55" s="112" t="str">
        <f>VLOOKUP(AD53,【進行】結果入力表!$B$7:$J$78,9,FALSE)</f>
        <v>SBC</v>
      </c>
      <c r="AH55" s="109"/>
      <c r="AI55" s="113"/>
      <c r="AL55" s="108" t="str">
        <f>VLOOKUP(AM53,【進行】結果入力表!$B$7:$J$78,2,FALSE)</f>
        <v>SBC</v>
      </c>
      <c r="AM55" s="109"/>
      <c r="AN55" s="110"/>
      <c r="AO55" s="111" t="s">
        <v>27</v>
      </c>
      <c r="AP55" s="112" t="str">
        <f>VLOOKUP(AM53,【進行】結果入力表!$B$7:$J$78,9,FALSE)</f>
        <v>HRC</v>
      </c>
      <c r="AQ55" s="109"/>
      <c r="AR55" s="113"/>
      <c r="AU55" s="108" t="str">
        <f>VLOOKUP(AV53,【進行】結果入力表!$B$7:$J$78,2,FALSE)</f>
        <v>SBC</v>
      </c>
      <c r="AV55" s="109"/>
      <c r="AW55" s="110"/>
      <c r="AX55" s="111" t="s">
        <v>27</v>
      </c>
      <c r="AY55" s="112" t="str">
        <f>VLOOKUP(AV53,【進行】結果入力表!$B$7:$J$78,9,FALSE)</f>
        <v>HRC</v>
      </c>
      <c r="AZ55" s="109"/>
      <c r="BA55" s="113"/>
      <c r="BD55" s="108" t="str">
        <f>VLOOKUP(BE53,【進行】結果入力表!$B$7:$J$78,2,FALSE)</f>
        <v>SBC</v>
      </c>
      <c r="BE55" s="109"/>
      <c r="BF55" s="110"/>
      <c r="BG55" s="111" t="s">
        <v>27</v>
      </c>
      <c r="BH55" s="112" t="str">
        <f>VLOOKUP(BE53,【進行】結果入力表!$B$7:$J$78,9,FALSE)</f>
        <v>HRC</v>
      </c>
      <c r="BI55" s="109"/>
      <c r="BJ55" s="113"/>
      <c r="BM55" s="108" t="str">
        <f>VLOOKUP(BN53,【進行】結果入力表!$B$7:$J$78,2,FALSE)</f>
        <v>SBC</v>
      </c>
      <c r="BN55" s="109"/>
      <c r="BO55" s="110"/>
      <c r="BP55" s="111" t="s">
        <v>27</v>
      </c>
      <c r="BQ55" s="112" t="str">
        <f>VLOOKUP(BN53,【進行】結果入力表!$B$7:$J$78,9,FALSE)</f>
        <v>HRC</v>
      </c>
      <c r="BR55" s="109"/>
      <c r="BS55" s="113"/>
    </row>
    <row r="56" spans="2:72" s="233" customFormat="1" ht="46.5" customHeight="1">
      <c r="B56" s="227" t="str">
        <f>VLOOKUP(C53,【進行】結果入力表!$B$7:$J$78,3,FALSE)</f>
        <v>長谷川進</v>
      </c>
      <c r="C56" s="228"/>
      <c r="D56" s="229"/>
      <c r="E56" s="230" t="s">
        <v>28</v>
      </c>
      <c r="F56" s="231" t="str">
        <f>VLOOKUP(C53,【進行】結果入力表!$B$7:$J$78,8,FALSE)</f>
        <v>大橋義治</v>
      </c>
      <c r="G56" s="228"/>
      <c r="H56" s="232"/>
      <c r="K56" s="227" t="str">
        <f>VLOOKUP(L53,【進行】結果入力表!$B$7:$J$78,3,FALSE)</f>
        <v>井本高史</v>
      </c>
      <c r="L56" s="228"/>
      <c r="M56" s="229"/>
      <c r="N56" s="230" t="s">
        <v>28</v>
      </c>
      <c r="O56" s="231" t="str">
        <f>VLOOKUP(L53,【進行】結果入力表!$B$7:$J$78,8,FALSE)</f>
        <v>山中康寛</v>
      </c>
      <c r="P56" s="228"/>
      <c r="Q56" s="232"/>
      <c r="T56" s="227" t="str">
        <f>VLOOKUP(U53,【進行】結果入力表!$B$7:$J$78,3,FALSE)</f>
        <v>金澤茂昌</v>
      </c>
      <c r="U56" s="228"/>
      <c r="V56" s="229"/>
      <c r="W56" s="230" t="s">
        <v>28</v>
      </c>
      <c r="X56" s="231" t="str">
        <f>VLOOKUP(U53,【進行】結果入力表!$B$7:$J$78,8,FALSE)</f>
        <v>大橋洋子</v>
      </c>
      <c r="Y56" s="228"/>
      <c r="Z56" s="232"/>
      <c r="AC56" s="227" t="str">
        <f>VLOOKUP(AD53,【進行】結果入力表!$B$7:$J$78,3,FALSE)</f>
        <v>宮野早織</v>
      </c>
      <c r="AD56" s="228"/>
      <c r="AE56" s="229"/>
      <c r="AF56" s="230" t="s">
        <v>28</v>
      </c>
      <c r="AG56" s="231" t="str">
        <f>VLOOKUP(AD53,【進行】結果入力表!$B$7:$J$78,8,FALSE)</f>
        <v>大橋正寛</v>
      </c>
      <c r="AH56" s="228"/>
      <c r="AI56" s="232"/>
      <c r="AL56" s="227" t="str">
        <f>VLOOKUP(AM53,【進行】結果入力表!$B$7:$J$78,3,FALSE)</f>
        <v>西峰久祐</v>
      </c>
      <c r="AM56" s="228"/>
      <c r="AN56" s="229"/>
      <c r="AO56" s="230" t="s">
        <v>28</v>
      </c>
      <c r="AP56" s="231" t="str">
        <f>VLOOKUP(AM53,【進行】結果入力表!$B$7:$J$78,8,FALSE)</f>
        <v>金井健太郎</v>
      </c>
      <c r="AQ56" s="228"/>
      <c r="AR56" s="232"/>
      <c r="AU56" s="227" t="str">
        <f>VLOOKUP(AV53,【進行】結果入力表!$B$7:$J$78,3,FALSE)</f>
        <v>大橋義治</v>
      </c>
      <c r="AV56" s="228"/>
      <c r="AW56" s="229"/>
      <c r="AX56" s="230" t="s">
        <v>28</v>
      </c>
      <c r="AY56" s="231" t="str">
        <f>VLOOKUP(AV53,【進行】結果入力表!$B$7:$J$78,8,FALSE)</f>
        <v>河地恵里</v>
      </c>
      <c r="AZ56" s="228"/>
      <c r="BA56" s="232"/>
      <c r="BD56" s="227" t="str">
        <f>VLOOKUP(BE53,【進行】結果入力表!$B$7:$J$78,3,FALSE)</f>
        <v>山中康寛</v>
      </c>
      <c r="BE56" s="228"/>
      <c r="BF56" s="229"/>
      <c r="BG56" s="230" t="s">
        <v>28</v>
      </c>
      <c r="BH56" s="231" t="str">
        <f>VLOOKUP(BE53,【進行】結果入力表!$B$7:$J$78,8,FALSE)</f>
        <v>宮本一</v>
      </c>
      <c r="BI56" s="228"/>
      <c r="BJ56" s="232"/>
      <c r="BM56" s="227" t="str">
        <f>VLOOKUP(BN53,【進行】結果入力表!$B$7:$J$78,3,FALSE)</f>
        <v>大橋洋子</v>
      </c>
      <c r="BN56" s="228"/>
      <c r="BO56" s="229"/>
      <c r="BP56" s="230" t="s">
        <v>28</v>
      </c>
      <c r="BQ56" s="231" t="str">
        <f>VLOOKUP(BN53,【進行】結果入力表!$B$7:$J$78,8,FALSE)</f>
        <v>堂園雅也</v>
      </c>
      <c r="BR56" s="228"/>
      <c r="BS56" s="232"/>
    </row>
    <row r="57" spans="2:72" ht="37.5" customHeight="1">
      <c r="B57" s="118"/>
      <c r="C57" s="49"/>
      <c r="D57" s="50"/>
      <c r="E57" s="115" t="s">
        <v>29</v>
      </c>
      <c r="F57" s="119"/>
      <c r="G57" s="49"/>
      <c r="H57" s="117"/>
      <c r="K57" s="118"/>
      <c r="L57" s="49"/>
      <c r="M57" s="50"/>
      <c r="N57" s="115" t="s">
        <v>29</v>
      </c>
      <c r="O57" s="119"/>
      <c r="P57" s="49"/>
      <c r="Q57" s="117"/>
      <c r="T57" s="118"/>
      <c r="U57" s="49"/>
      <c r="V57" s="50"/>
      <c r="W57" s="115" t="s">
        <v>29</v>
      </c>
      <c r="X57" s="119"/>
      <c r="Y57" s="49"/>
      <c r="Z57" s="117"/>
      <c r="AC57" s="118"/>
      <c r="AD57" s="49"/>
      <c r="AE57" s="50"/>
      <c r="AF57" s="115" t="s">
        <v>29</v>
      </c>
      <c r="AG57" s="119"/>
      <c r="AH57" s="49"/>
      <c r="AI57" s="117"/>
      <c r="AL57" s="118"/>
      <c r="AM57" s="49"/>
      <c r="AN57" s="50"/>
      <c r="AO57" s="115" t="s">
        <v>29</v>
      </c>
      <c r="AP57" s="119"/>
      <c r="AQ57" s="49"/>
      <c r="AR57" s="117"/>
      <c r="AU57" s="118"/>
      <c r="AV57" s="49"/>
      <c r="AW57" s="50"/>
      <c r="AX57" s="115" t="s">
        <v>29</v>
      </c>
      <c r="AY57" s="119"/>
      <c r="AZ57" s="49"/>
      <c r="BA57" s="117"/>
      <c r="BD57" s="118"/>
      <c r="BE57" s="49"/>
      <c r="BF57" s="50"/>
      <c r="BG57" s="115" t="s">
        <v>29</v>
      </c>
      <c r="BH57" s="119"/>
      <c r="BI57" s="49"/>
      <c r="BJ57" s="117"/>
      <c r="BM57" s="118"/>
      <c r="BN57" s="49"/>
      <c r="BO57" s="50"/>
      <c r="BP57" s="115" t="s">
        <v>29</v>
      </c>
      <c r="BQ57" s="119"/>
      <c r="BR57" s="49"/>
      <c r="BS57" s="117"/>
    </row>
    <row r="58" spans="2:72" ht="37.5" customHeight="1">
      <c r="B58" s="120"/>
      <c r="C58" s="121"/>
      <c r="D58" s="122"/>
      <c r="E58" s="123" t="s">
        <v>30</v>
      </c>
      <c r="F58" s="124"/>
      <c r="G58" s="121"/>
      <c r="H58" s="125"/>
      <c r="K58" s="120"/>
      <c r="L58" s="121"/>
      <c r="M58" s="122"/>
      <c r="N58" s="123" t="s">
        <v>30</v>
      </c>
      <c r="O58" s="124"/>
      <c r="P58" s="121"/>
      <c r="Q58" s="125"/>
      <c r="T58" s="120"/>
      <c r="U58" s="121"/>
      <c r="V58" s="122"/>
      <c r="W58" s="123" t="s">
        <v>30</v>
      </c>
      <c r="X58" s="124"/>
      <c r="Y58" s="121"/>
      <c r="Z58" s="125"/>
      <c r="AC58" s="120"/>
      <c r="AD58" s="121"/>
      <c r="AE58" s="122"/>
      <c r="AF58" s="123" t="s">
        <v>30</v>
      </c>
      <c r="AG58" s="124"/>
      <c r="AH58" s="121"/>
      <c r="AI58" s="125"/>
      <c r="AL58" s="120"/>
      <c r="AM58" s="121"/>
      <c r="AN58" s="122"/>
      <c r="AO58" s="123" t="s">
        <v>30</v>
      </c>
      <c r="AP58" s="124"/>
      <c r="AQ58" s="121"/>
      <c r="AR58" s="125"/>
      <c r="AU58" s="120"/>
      <c r="AV58" s="121"/>
      <c r="AW58" s="122"/>
      <c r="AX58" s="123" t="s">
        <v>30</v>
      </c>
      <c r="AY58" s="124"/>
      <c r="AZ58" s="121"/>
      <c r="BA58" s="125"/>
      <c r="BD58" s="120"/>
      <c r="BE58" s="121"/>
      <c r="BF58" s="122"/>
      <c r="BG58" s="123" t="s">
        <v>30</v>
      </c>
      <c r="BH58" s="124"/>
      <c r="BI58" s="121"/>
      <c r="BJ58" s="125"/>
      <c r="BM58" s="120"/>
      <c r="BN58" s="121"/>
      <c r="BO58" s="122"/>
      <c r="BP58" s="123" t="s">
        <v>30</v>
      </c>
      <c r="BQ58" s="124"/>
      <c r="BR58" s="121"/>
      <c r="BS58" s="125"/>
    </row>
    <row r="60" spans="2:72" ht="16.2">
      <c r="D60" s="53"/>
      <c r="E60" s="85" t="s">
        <v>32</v>
      </c>
      <c r="F60" s="235" t="str">
        <f>VLOOKUP(C53,【進行】結果入力表!$B$7:$M$78,11,FALSE)</f>
        <v>HRC</v>
      </c>
      <c r="G60" s="87" t="str">
        <f>VLOOKUP(C53,【進行】結果入力表!$B$7:$M$78,12,FALSE)</f>
        <v>金井健太郎</v>
      </c>
      <c r="H60" s="53"/>
      <c r="M60" s="53"/>
      <c r="N60" s="85" t="s">
        <v>32</v>
      </c>
      <c r="O60" s="235" t="str">
        <f>VLOOKUP(L53,【進行】結果入力表!$B$7:$M$78,11,FALSE)</f>
        <v>HRC</v>
      </c>
      <c r="P60" s="87" t="str">
        <f>VLOOKUP(L53,【進行】結果入力表!$B$7:$M$78,12,FALSE)</f>
        <v>河地恵里</v>
      </c>
      <c r="Q60" s="53"/>
      <c r="V60" s="53"/>
      <c r="W60" s="85" t="s">
        <v>32</v>
      </c>
      <c r="X60" s="235" t="str">
        <f>VLOOKUP(U53,【進行】結果入力表!$B$7:$M$78,11,FALSE)</f>
        <v>HRC</v>
      </c>
      <c r="Y60" s="87" t="str">
        <f>VLOOKUP(U53,【進行】結果入力表!$B$7:$M$78,12,FALSE)</f>
        <v>宮本一</v>
      </c>
      <c r="Z60" s="53"/>
      <c r="AE60" s="53"/>
      <c r="AF60" s="85" t="s">
        <v>32</v>
      </c>
      <c r="AG60" s="235" t="str">
        <f>VLOOKUP(AD53,【進行】結果入力表!$B$7:$M$78,11,FALSE)</f>
        <v>HRC</v>
      </c>
      <c r="AH60" s="87" t="str">
        <f>VLOOKUP(AD53,【進行】結果入力表!$B$7:$M$78,12,FALSE)</f>
        <v>堂園雅也</v>
      </c>
      <c r="AI60" s="53"/>
      <c r="AN60" s="53"/>
      <c r="AO60" s="85" t="s">
        <v>32</v>
      </c>
      <c r="AP60" s="235" t="str">
        <f>VLOOKUP(AM53,【進行】結果入力表!$B$7:$M$78,11,FALSE)</f>
        <v>NRC</v>
      </c>
      <c r="AQ60" s="87" t="str">
        <f>VLOOKUP(AM53,【進行】結果入力表!$B$7:$M$78,12,FALSE)</f>
        <v>吉向翔平</v>
      </c>
      <c r="AR60" s="53"/>
      <c r="AW60" s="53"/>
      <c r="AX60" s="85" t="s">
        <v>32</v>
      </c>
      <c r="AY60" s="235" t="str">
        <f>VLOOKUP(AV53,【進行】結果入力表!$B$7:$M$78,11,FALSE)</f>
        <v>NRC</v>
      </c>
      <c r="AZ60" s="87" t="str">
        <f>VLOOKUP(AV53,【進行】結果入力表!$B$7:$M$78,12,FALSE)</f>
        <v>岩本剛</v>
      </c>
      <c r="BA60" s="53"/>
      <c r="BF60" s="53"/>
      <c r="BG60" s="85" t="s">
        <v>32</v>
      </c>
      <c r="BH60" s="235" t="str">
        <f>VLOOKUP(BE53,【進行】結果入力表!$B$7:$M$78,11,FALSE)</f>
        <v>NRC</v>
      </c>
      <c r="BI60" s="87" t="str">
        <f>VLOOKUP(BE53,【進行】結果入力表!$B$7:$M$78,12,FALSE)</f>
        <v>長谷川進</v>
      </c>
      <c r="BJ60" s="53"/>
      <c r="BO60" s="53"/>
      <c r="BP60" s="85" t="s">
        <v>32</v>
      </c>
      <c r="BQ60" s="235" t="str">
        <f>VLOOKUP(BN53,【進行】結果入力表!$B$7:$M$78,11,FALSE)</f>
        <v>NRC</v>
      </c>
      <c r="BR60" s="87" t="str">
        <f>VLOOKUP(BN53,【進行】結果入力表!$B$7:$M$78,12,FALSE)</f>
        <v>井本高史</v>
      </c>
      <c r="BS60" s="53"/>
    </row>
    <row r="61" spans="2:72" ht="15" customHeight="1">
      <c r="B61" s="54" t="str">
        <f>【結果】個人成績表!$A$1</f>
        <v>第8回　神奈滋対抗戦　　　(奈良；キングスポット)</v>
      </c>
      <c r="C61" s="105"/>
      <c r="D61" s="105"/>
      <c r="E61" s="105"/>
      <c r="F61" s="105"/>
      <c r="G61" s="105"/>
      <c r="H61" s="106"/>
      <c r="K61" s="54" t="str">
        <f>【結果】個人成績表!$A$1</f>
        <v>第8回　神奈滋対抗戦　　　(奈良；キングスポット)</v>
      </c>
      <c r="L61" s="105"/>
      <c r="M61" s="105"/>
      <c r="N61" s="105"/>
      <c r="O61" s="105"/>
      <c r="P61" s="105"/>
      <c r="Q61" s="106"/>
      <c r="T61" s="54" t="str">
        <f>【結果】個人成績表!$A$1</f>
        <v>第8回　神奈滋対抗戦　　　(奈良；キングスポット)</v>
      </c>
      <c r="U61" s="105"/>
      <c r="V61" s="105"/>
      <c r="W61" s="105"/>
      <c r="X61" s="105"/>
      <c r="Y61" s="105"/>
      <c r="Z61" s="106"/>
      <c r="AC61" s="54" t="str">
        <f>【結果】個人成績表!$A$1</f>
        <v>第8回　神奈滋対抗戦　　　(奈良；キングスポット)</v>
      </c>
      <c r="AD61" s="105"/>
      <c r="AE61" s="105"/>
      <c r="AF61" s="105"/>
      <c r="AG61" s="105"/>
      <c r="AH61" s="105"/>
      <c r="AI61" s="106"/>
      <c r="AL61" s="54" t="str">
        <f>【結果】個人成績表!$A$1</f>
        <v>第8回　神奈滋対抗戦　　　(奈良；キングスポット)</v>
      </c>
      <c r="AM61" s="105"/>
      <c r="AN61" s="105"/>
      <c r="AO61" s="105"/>
      <c r="AP61" s="105"/>
      <c r="AQ61" s="105"/>
      <c r="AR61" s="106"/>
      <c r="AU61" s="54" t="str">
        <f>【結果】個人成績表!$A$1</f>
        <v>第8回　神奈滋対抗戦　　　(奈良；キングスポット)</v>
      </c>
      <c r="AV61" s="105"/>
      <c r="AW61" s="105"/>
      <c r="AX61" s="105"/>
      <c r="AY61" s="105"/>
      <c r="AZ61" s="105"/>
      <c r="BA61" s="106"/>
      <c r="BD61" s="54" t="str">
        <f>【結果】個人成績表!$A$1</f>
        <v>第8回　神奈滋対抗戦　　　(奈良；キングスポット)</v>
      </c>
      <c r="BE61" s="105"/>
      <c r="BF61" s="105"/>
      <c r="BG61" s="105"/>
      <c r="BH61" s="105"/>
      <c r="BI61" s="105"/>
      <c r="BJ61" s="106"/>
      <c r="BM61" s="54" t="str">
        <f>【結果】個人成績表!$A$1</f>
        <v>第8回　神奈滋対抗戦　　　(奈良；キングスポット)</v>
      </c>
      <c r="BN61" s="105"/>
      <c r="BO61" s="105"/>
      <c r="BP61" s="105"/>
      <c r="BQ61" s="105"/>
      <c r="BR61" s="105"/>
      <c r="BS61" s="106"/>
      <c r="BT61" t="s">
        <v>23</v>
      </c>
    </row>
    <row r="63" spans="2:72" s="107" customFormat="1" ht="15" customHeight="1">
      <c r="B63" s="53" t="s">
        <v>25</v>
      </c>
      <c r="C63" s="94">
        <f>【進行】結果入力表!B47</f>
        <v>41</v>
      </c>
      <c r="F63" s="53" t="s">
        <v>26</v>
      </c>
      <c r="G63" s="94"/>
      <c r="K63" s="53" t="s">
        <v>25</v>
      </c>
      <c r="L63" s="94">
        <f>【進行】結果入力表!B48</f>
        <v>42</v>
      </c>
      <c r="O63" s="53" t="s">
        <v>26</v>
      </c>
      <c r="P63" s="94"/>
      <c r="T63" s="53" t="s">
        <v>25</v>
      </c>
      <c r="U63" s="94">
        <f>【進行】結果入力表!B49</f>
        <v>43</v>
      </c>
      <c r="X63" s="53" t="s">
        <v>26</v>
      </c>
      <c r="Y63" s="94"/>
      <c r="AC63" s="53" t="s">
        <v>25</v>
      </c>
      <c r="AD63" s="94">
        <f>【進行】結果入力表!B50</f>
        <v>44</v>
      </c>
      <c r="AG63" s="53" t="s">
        <v>26</v>
      </c>
      <c r="AH63" s="94"/>
      <c r="AL63" s="53" t="s">
        <v>25</v>
      </c>
      <c r="AM63" s="94">
        <f>【進行】結果入力表!B51</f>
        <v>45</v>
      </c>
      <c r="AP63" s="53" t="s">
        <v>26</v>
      </c>
      <c r="AQ63" s="94"/>
      <c r="AU63" s="53" t="s">
        <v>25</v>
      </c>
      <c r="AV63" s="94">
        <f>【進行】結果入力表!B52</f>
        <v>46</v>
      </c>
      <c r="AY63" s="53" t="s">
        <v>26</v>
      </c>
      <c r="AZ63" s="94"/>
      <c r="BD63" s="53" t="s">
        <v>25</v>
      </c>
      <c r="BE63" s="94">
        <f>【進行】結果入力表!B53</f>
        <v>47</v>
      </c>
      <c r="BH63" s="53" t="s">
        <v>26</v>
      </c>
      <c r="BI63" s="94"/>
      <c r="BM63" s="53" t="s">
        <v>25</v>
      </c>
      <c r="BN63" s="94">
        <f>【進行】結果入力表!B54</f>
        <v>48</v>
      </c>
      <c r="BQ63" s="53" t="s">
        <v>26</v>
      </c>
      <c r="BR63" s="94"/>
    </row>
    <row r="65" spans="2:72" ht="31.5" customHeight="1">
      <c r="B65" s="108" t="str">
        <f>VLOOKUP(C63,【進行】結果入力表!$B$7:$J$78,2,FALSE)</f>
        <v>SBC</v>
      </c>
      <c r="C65" s="109"/>
      <c r="D65" s="110"/>
      <c r="E65" s="111" t="s">
        <v>27</v>
      </c>
      <c r="F65" s="112" t="str">
        <f>VLOOKUP(C63,【進行】結果入力表!$B$7:$J$78,9,FALSE)</f>
        <v>HRC</v>
      </c>
      <c r="G65" s="109"/>
      <c r="H65" s="113"/>
      <c r="K65" s="108" t="str">
        <f>VLOOKUP(L63,【進行】結果入力表!$B$7:$J$78,2,FALSE)</f>
        <v>SBC</v>
      </c>
      <c r="L65" s="109"/>
      <c r="M65" s="110"/>
      <c r="N65" s="111" t="s">
        <v>27</v>
      </c>
      <c r="O65" s="112" t="str">
        <f>VLOOKUP(L63,【進行】結果入力表!$B$7:$J$78,9,FALSE)</f>
        <v>HRC</v>
      </c>
      <c r="P65" s="109"/>
      <c r="Q65" s="113"/>
      <c r="T65" s="108" t="str">
        <f>VLOOKUP(U63,【進行】結果入力表!$B$7:$J$78,2,FALSE)</f>
        <v>NRC</v>
      </c>
      <c r="U65" s="109"/>
      <c r="V65" s="110"/>
      <c r="W65" s="111" t="s">
        <v>27</v>
      </c>
      <c r="X65" s="112" t="str">
        <f>VLOOKUP(U63,【進行】結果入力表!$B$7:$J$78,9,FALSE)</f>
        <v>HRC</v>
      </c>
      <c r="Y65" s="109"/>
      <c r="Z65" s="113"/>
      <c r="AC65" s="108" t="str">
        <f>VLOOKUP(AD63,【進行】結果入力表!$B$7:$J$78,2,FALSE)</f>
        <v>NRC</v>
      </c>
      <c r="AD65" s="109"/>
      <c r="AE65" s="110"/>
      <c r="AF65" s="111" t="s">
        <v>27</v>
      </c>
      <c r="AG65" s="112" t="str">
        <f>VLOOKUP(AD63,【進行】結果入力表!$B$7:$J$78,9,FALSE)</f>
        <v>HRC</v>
      </c>
      <c r="AH65" s="109"/>
      <c r="AI65" s="113"/>
      <c r="AL65" s="108" t="str">
        <f>VLOOKUP(AM63,【進行】結果入力表!$B$7:$J$78,2,FALSE)</f>
        <v>NRC</v>
      </c>
      <c r="AM65" s="109"/>
      <c r="AN65" s="110"/>
      <c r="AO65" s="111" t="s">
        <v>27</v>
      </c>
      <c r="AP65" s="112" t="str">
        <f>VLOOKUP(AM63,【進行】結果入力表!$B$7:$J$78,9,FALSE)</f>
        <v>HRC</v>
      </c>
      <c r="AQ65" s="109"/>
      <c r="AR65" s="113"/>
      <c r="AU65" s="108" t="str">
        <f>VLOOKUP(AV63,【進行】結果入力表!$B$7:$J$78,2,FALSE)</f>
        <v>NRC</v>
      </c>
      <c r="AV65" s="109"/>
      <c r="AW65" s="110"/>
      <c r="AX65" s="111" t="s">
        <v>27</v>
      </c>
      <c r="AY65" s="112" t="str">
        <f>VLOOKUP(AV63,【進行】結果入力表!$B$7:$J$78,9,FALSE)</f>
        <v>HRC</v>
      </c>
      <c r="AZ65" s="109"/>
      <c r="BA65" s="113"/>
      <c r="BD65" s="108" t="str">
        <f>VLOOKUP(BE63,【進行】結果入力表!$B$7:$J$78,2,FALSE)</f>
        <v>NRC</v>
      </c>
      <c r="BE65" s="109"/>
      <c r="BF65" s="110"/>
      <c r="BG65" s="111" t="s">
        <v>27</v>
      </c>
      <c r="BH65" s="112" t="str">
        <f>VLOOKUP(BE63,【進行】結果入力表!$B$7:$J$78,9,FALSE)</f>
        <v>HRC</v>
      </c>
      <c r="BI65" s="109"/>
      <c r="BJ65" s="113"/>
      <c r="BM65" s="108" t="str">
        <f>VLOOKUP(BN63,【進行】結果入力表!$B$7:$J$78,2,FALSE)</f>
        <v>NRC</v>
      </c>
      <c r="BN65" s="109"/>
      <c r="BO65" s="110"/>
      <c r="BP65" s="111" t="s">
        <v>27</v>
      </c>
      <c r="BQ65" s="112" t="str">
        <f>VLOOKUP(BN63,【進行】結果入力表!$B$7:$J$78,9,FALSE)</f>
        <v>HRC</v>
      </c>
      <c r="BR65" s="109"/>
      <c r="BS65" s="113"/>
    </row>
    <row r="66" spans="2:72" s="233" customFormat="1" ht="46.5" customHeight="1">
      <c r="B66" s="227" t="str">
        <f>VLOOKUP(C63,【進行】結果入力表!$B$7:$J$78,3,FALSE)</f>
        <v>大橋正寛</v>
      </c>
      <c r="C66" s="228"/>
      <c r="D66" s="229"/>
      <c r="E66" s="230" t="s">
        <v>28</v>
      </c>
      <c r="F66" s="231" t="str">
        <f>VLOOKUP(C63,【進行】結果入力表!$B$7:$J$78,8,FALSE)</f>
        <v>平井洸志</v>
      </c>
      <c r="G66" s="228"/>
      <c r="H66" s="232"/>
      <c r="K66" s="227" t="str">
        <f>VLOOKUP(L63,【進行】結果入力表!$B$7:$J$78,3,FALSE)</f>
        <v>長田智紀</v>
      </c>
      <c r="L66" s="228"/>
      <c r="M66" s="229"/>
      <c r="N66" s="230" t="s">
        <v>28</v>
      </c>
      <c r="O66" s="231" t="str">
        <f>VLOOKUP(L63,【進行】結果入力表!$B$7:$J$78,8,FALSE)</f>
        <v>宮井健太郎</v>
      </c>
      <c r="P66" s="228"/>
      <c r="Q66" s="232"/>
      <c r="T66" s="227" t="str">
        <f>VLOOKUP(U63,【進行】結果入力表!$B$7:$J$78,3,FALSE)</f>
        <v>吉向翔平</v>
      </c>
      <c r="U66" s="228"/>
      <c r="V66" s="229"/>
      <c r="W66" s="230" t="s">
        <v>28</v>
      </c>
      <c r="X66" s="231" t="str">
        <f>VLOOKUP(U63,【進行】結果入力表!$B$7:$J$78,8,FALSE)</f>
        <v>金井健太郎</v>
      </c>
      <c r="Y66" s="228"/>
      <c r="Z66" s="232"/>
      <c r="AC66" s="227" t="str">
        <f>VLOOKUP(AD63,【進行】結果入力表!$B$7:$J$78,3,FALSE)</f>
        <v>岩本剛</v>
      </c>
      <c r="AD66" s="228"/>
      <c r="AE66" s="229"/>
      <c r="AF66" s="230" t="s">
        <v>28</v>
      </c>
      <c r="AG66" s="231" t="str">
        <f>VLOOKUP(AD63,【進行】結果入力表!$B$7:$J$78,8,FALSE)</f>
        <v>河地恵里</v>
      </c>
      <c r="AH66" s="228"/>
      <c r="AI66" s="232"/>
      <c r="AL66" s="227" t="str">
        <f>VLOOKUP(AM63,【進行】結果入力表!$B$7:$J$78,3,FALSE)</f>
        <v>長谷川進</v>
      </c>
      <c r="AM66" s="228"/>
      <c r="AN66" s="229"/>
      <c r="AO66" s="230" t="s">
        <v>28</v>
      </c>
      <c r="AP66" s="231" t="str">
        <f>VLOOKUP(AM63,【進行】結果入力表!$B$7:$J$78,8,FALSE)</f>
        <v>宮本一</v>
      </c>
      <c r="AQ66" s="228"/>
      <c r="AR66" s="232"/>
      <c r="AU66" s="227" t="str">
        <f>VLOOKUP(AV63,【進行】結果入力表!$B$7:$J$78,3,FALSE)</f>
        <v>井本高史</v>
      </c>
      <c r="AV66" s="228"/>
      <c r="AW66" s="229"/>
      <c r="AX66" s="230" t="s">
        <v>28</v>
      </c>
      <c r="AY66" s="231" t="str">
        <f>VLOOKUP(AV63,【進行】結果入力表!$B$7:$J$78,8,FALSE)</f>
        <v>堂園雅也</v>
      </c>
      <c r="AZ66" s="228"/>
      <c r="BA66" s="232"/>
      <c r="BD66" s="227" t="str">
        <f>VLOOKUP(BE63,【進行】結果入力表!$B$7:$J$78,3,FALSE)</f>
        <v>金澤茂昌</v>
      </c>
      <c r="BE66" s="228"/>
      <c r="BF66" s="229"/>
      <c r="BG66" s="230" t="s">
        <v>28</v>
      </c>
      <c r="BH66" s="231" t="str">
        <f>VLOOKUP(BE63,【進行】結果入力表!$B$7:$J$78,8,FALSE)</f>
        <v>平井洸志</v>
      </c>
      <c r="BI66" s="228"/>
      <c r="BJ66" s="232"/>
      <c r="BM66" s="227" t="str">
        <f>VLOOKUP(BN63,【進行】結果入力表!$B$7:$J$78,3,FALSE)</f>
        <v>宮野早織</v>
      </c>
      <c r="BN66" s="228"/>
      <c r="BO66" s="229"/>
      <c r="BP66" s="230" t="s">
        <v>28</v>
      </c>
      <c r="BQ66" s="231" t="str">
        <f>VLOOKUP(BN63,【進行】結果入力表!$B$7:$J$78,8,FALSE)</f>
        <v>宮井健太郎</v>
      </c>
      <c r="BR66" s="228"/>
      <c r="BS66" s="232"/>
    </row>
    <row r="67" spans="2:72" ht="37.5" customHeight="1">
      <c r="B67" s="118"/>
      <c r="C67" s="49"/>
      <c r="D67" s="50"/>
      <c r="E67" s="115" t="s">
        <v>29</v>
      </c>
      <c r="F67" s="119"/>
      <c r="G67" s="49"/>
      <c r="H67" s="117"/>
      <c r="K67" s="118"/>
      <c r="L67" s="49"/>
      <c r="M67" s="50"/>
      <c r="N67" s="115" t="s">
        <v>29</v>
      </c>
      <c r="O67" s="119"/>
      <c r="P67" s="49"/>
      <c r="Q67" s="117"/>
      <c r="T67" s="118"/>
      <c r="U67" s="49"/>
      <c r="V67" s="50"/>
      <c r="W67" s="115" t="s">
        <v>29</v>
      </c>
      <c r="X67" s="119"/>
      <c r="Y67" s="49"/>
      <c r="Z67" s="117"/>
      <c r="AC67" s="118"/>
      <c r="AD67" s="49"/>
      <c r="AE67" s="50"/>
      <c r="AF67" s="115" t="s">
        <v>29</v>
      </c>
      <c r="AG67" s="119"/>
      <c r="AH67" s="49"/>
      <c r="AI67" s="117"/>
      <c r="AL67" s="118"/>
      <c r="AM67" s="49"/>
      <c r="AN67" s="50"/>
      <c r="AO67" s="115" t="s">
        <v>29</v>
      </c>
      <c r="AP67" s="119"/>
      <c r="AQ67" s="49"/>
      <c r="AR67" s="117"/>
      <c r="AU67" s="118"/>
      <c r="AV67" s="49"/>
      <c r="AW67" s="50"/>
      <c r="AX67" s="115" t="s">
        <v>29</v>
      </c>
      <c r="AY67" s="119"/>
      <c r="AZ67" s="49"/>
      <c r="BA67" s="117"/>
      <c r="BD67" s="118"/>
      <c r="BE67" s="49"/>
      <c r="BF67" s="50"/>
      <c r="BG67" s="115" t="s">
        <v>29</v>
      </c>
      <c r="BH67" s="119"/>
      <c r="BI67" s="49"/>
      <c r="BJ67" s="117"/>
      <c r="BM67" s="118"/>
      <c r="BN67" s="49"/>
      <c r="BO67" s="50"/>
      <c r="BP67" s="115" t="s">
        <v>29</v>
      </c>
      <c r="BQ67" s="119"/>
      <c r="BR67" s="49"/>
      <c r="BS67" s="117"/>
    </row>
    <row r="68" spans="2:72" ht="37.5" customHeight="1">
      <c r="B68" s="120"/>
      <c r="C68" s="121"/>
      <c r="D68" s="122"/>
      <c r="E68" s="123" t="s">
        <v>30</v>
      </c>
      <c r="F68" s="124"/>
      <c r="G68" s="121"/>
      <c r="H68" s="125"/>
      <c r="K68" s="120"/>
      <c r="L68" s="121"/>
      <c r="M68" s="122"/>
      <c r="N68" s="123" t="s">
        <v>30</v>
      </c>
      <c r="O68" s="124"/>
      <c r="P68" s="121"/>
      <c r="Q68" s="125"/>
      <c r="T68" s="120"/>
      <c r="U68" s="121"/>
      <c r="V68" s="122"/>
      <c r="W68" s="123" t="s">
        <v>30</v>
      </c>
      <c r="X68" s="124"/>
      <c r="Y68" s="121"/>
      <c r="Z68" s="125"/>
      <c r="AC68" s="120"/>
      <c r="AD68" s="121"/>
      <c r="AE68" s="122"/>
      <c r="AF68" s="123" t="s">
        <v>30</v>
      </c>
      <c r="AG68" s="124"/>
      <c r="AH68" s="121"/>
      <c r="AI68" s="125"/>
      <c r="AL68" s="120"/>
      <c r="AM68" s="121"/>
      <c r="AN68" s="122"/>
      <c r="AO68" s="123" t="s">
        <v>30</v>
      </c>
      <c r="AP68" s="124"/>
      <c r="AQ68" s="121"/>
      <c r="AR68" s="125"/>
      <c r="AU68" s="120"/>
      <c r="AV68" s="121"/>
      <c r="AW68" s="122"/>
      <c r="AX68" s="123" t="s">
        <v>30</v>
      </c>
      <c r="AY68" s="124"/>
      <c r="AZ68" s="121"/>
      <c r="BA68" s="125"/>
      <c r="BD68" s="120"/>
      <c r="BE68" s="121"/>
      <c r="BF68" s="122"/>
      <c r="BG68" s="123" t="s">
        <v>30</v>
      </c>
      <c r="BH68" s="124"/>
      <c r="BI68" s="121"/>
      <c r="BJ68" s="125"/>
      <c r="BM68" s="120"/>
      <c r="BN68" s="121"/>
      <c r="BO68" s="122"/>
      <c r="BP68" s="123" t="s">
        <v>30</v>
      </c>
      <c r="BQ68" s="124"/>
      <c r="BR68" s="121"/>
      <c r="BS68" s="125"/>
    </row>
    <row r="70" spans="2:72" ht="16.2">
      <c r="D70" s="53"/>
      <c r="E70" s="85" t="s">
        <v>32</v>
      </c>
      <c r="F70" s="235" t="str">
        <f>VLOOKUP(C63,【進行】結果入力表!$B$7:$M$78,11,FALSE)</f>
        <v>NRC</v>
      </c>
      <c r="G70" s="87" t="str">
        <f>VLOOKUP(C63,【進行】結果入力表!$B$7:$M$78,12,FALSE)</f>
        <v>金澤茂昌</v>
      </c>
      <c r="H70" s="53"/>
      <c r="M70" s="53"/>
      <c r="N70" s="85" t="s">
        <v>32</v>
      </c>
      <c r="O70" s="235" t="str">
        <f>VLOOKUP(L63,【進行】結果入力表!$B$7:$M$78,11,FALSE)</f>
        <v>NRC</v>
      </c>
      <c r="P70" s="87" t="str">
        <f>VLOOKUP(L63,【進行】結果入力表!$B$7:$M$78,12,FALSE)</f>
        <v>宮野早織</v>
      </c>
      <c r="Q70" s="53"/>
      <c r="V70" s="53"/>
      <c r="W70" s="85" t="s">
        <v>32</v>
      </c>
      <c r="X70" s="235" t="str">
        <f>VLOOKUP(U63,【進行】結果入力表!$B$7:$M$78,11,FALSE)</f>
        <v>SBC</v>
      </c>
      <c r="Y70" s="87" t="str">
        <f>VLOOKUP(U63,【進行】結果入力表!$B$7:$M$78,12,FALSE)</f>
        <v>西峰久祐</v>
      </c>
      <c r="Z70" s="53"/>
      <c r="AE70" s="53"/>
      <c r="AF70" s="85" t="s">
        <v>32</v>
      </c>
      <c r="AG70" s="235" t="str">
        <f>VLOOKUP(AD63,【進行】結果入力表!$B$7:$M$78,11,FALSE)</f>
        <v>SBC</v>
      </c>
      <c r="AH70" s="87" t="str">
        <f>VLOOKUP(AD63,【進行】結果入力表!$B$7:$M$78,12,FALSE)</f>
        <v>大橋義治</v>
      </c>
      <c r="AI70" s="53"/>
      <c r="AN70" s="53"/>
      <c r="AO70" s="85" t="s">
        <v>32</v>
      </c>
      <c r="AP70" s="235" t="str">
        <f>VLOOKUP(AM63,【進行】結果入力表!$B$7:$M$78,11,FALSE)</f>
        <v>SBC</v>
      </c>
      <c r="AQ70" s="87" t="str">
        <f>VLOOKUP(AM63,【進行】結果入力表!$B$7:$M$78,12,FALSE)</f>
        <v>山中康寛</v>
      </c>
      <c r="AR70" s="53"/>
      <c r="AW70" s="53"/>
      <c r="AX70" s="85" t="s">
        <v>32</v>
      </c>
      <c r="AY70" s="235" t="str">
        <f>VLOOKUP(AV63,【進行】結果入力表!$B$7:$M$78,11,FALSE)</f>
        <v>SBC</v>
      </c>
      <c r="AZ70" s="87" t="str">
        <f>VLOOKUP(AV63,【進行】結果入力表!$B$7:$M$78,12,FALSE)</f>
        <v>大橋洋子</v>
      </c>
      <c r="BA70" s="53"/>
      <c r="BF70" s="53"/>
      <c r="BG70" s="85" t="s">
        <v>32</v>
      </c>
      <c r="BH70" s="235" t="str">
        <f>VLOOKUP(BE63,【進行】結果入力表!$B$7:$M$78,11,FALSE)</f>
        <v>SBC</v>
      </c>
      <c r="BI70" s="87" t="str">
        <f>VLOOKUP(BE63,【進行】結果入力表!$B$7:$M$78,12,FALSE)</f>
        <v>大橋正寛</v>
      </c>
      <c r="BJ70" s="53"/>
      <c r="BO70" s="53"/>
      <c r="BP70" s="85" t="s">
        <v>32</v>
      </c>
      <c r="BQ70" s="235" t="str">
        <f>VLOOKUP(BN63,【進行】結果入力表!$B$7:$M$78,11,FALSE)</f>
        <v>SBC</v>
      </c>
      <c r="BR70" s="87" t="str">
        <f>VLOOKUP(BN63,【進行】結果入力表!$B$7:$M$78,12,FALSE)</f>
        <v>長田智紀</v>
      </c>
      <c r="BS70" s="53"/>
    </row>
    <row r="71" spans="2:72" ht="15" customHeight="1">
      <c r="B71" s="54" t="str">
        <f>【結果】個人成績表!$A$1</f>
        <v>第8回　神奈滋対抗戦　　　(奈良；キングスポット)</v>
      </c>
      <c r="C71" s="105"/>
      <c r="D71" s="105"/>
      <c r="E71" s="105"/>
      <c r="F71" s="105"/>
      <c r="G71" s="105"/>
      <c r="H71" s="106"/>
      <c r="K71" s="54" t="str">
        <f>【結果】個人成績表!$A$1</f>
        <v>第8回　神奈滋対抗戦　　　(奈良；キングスポット)</v>
      </c>
      <c r="L71" s="105"/>
      <c r="M71" s="105"/>
      <c r="N71" s="105"/>
      <c r="O71" s="105"/>
      <c r="P71" s="105"/>
      <c r="Q71" s="106"/>
      <c r="T71" s="54" t="str">
        <f>【結果】個人成績表!$A$1</f>
        <v>第8回　神奈滋対抗戦　　　(奈良；キングスポット)</v>
      </c>
      <c r="U71" s="105"/>
      <c r="V71" s="105"/>
      <c r="W71" s="105"/>
      <c r="X71" s="105"/>
      <c r="Y71" s="105"/>
      <c r="Z71" s="106"/>
      <c r="AC71" s="54" t="str">
        <f>【結果】個人成績表!$A$1</f>
        <v>第8回　神奈滋対抗戦　　　(奈良；キングスポット)</v>
      </c>
      <c r="AD71" s="105"/>
      <c r="AE71" s="105"/>
      <c r="AF71" s="105"/>
      <c r="AG71" s="105"/>
      <c r="AH71" s="105"/>
      <c r="AI71" s="106"/>
      <c r="AL71" s="54" t="str">
        <f>【結果】個人成績表!$A$1</f>
        <v>第8回　神奈滋対抗戦　　　(奈良；キングスポット)</v>
      </c>
      <c r="AM71" s="105"/>
      <c r="AN71" s="105"/>
      <c r="AO71" s="105"/>
      <c r="AP71" s="105"/>
      <c r="AQ71" s="105"/>
      <c r="AR71" s="106"/>
      <c r="AU71" s="54" t="str">
        <f>【結果】個人成績表!$A$1</f>
        <v>第8回　神奈滋対抗戦　　　(奈良；キングスポット)</v>
      </c>
      <c r="AV71" s="105"/>
      <c r="AW71" s="105"/>
      <c r="AX71" s="105"/>
      <c r="AY71" s="105"/>
      <c r="AZ71" s="105"/>
      <c r="BA71" s="106"/>
      <c r="BD71" s="54" t="str">
        <f>【結果】個人成績表!$A$1</f>
        <v>第8回　神奈滋対抗戦　　　(奈良；キングスポット)</v>
      </c>
      <c r="BE71" s="105"/>
      <c r="BF71" s="105"/>
      <c r="BG71" s="105"/>
      <c r="BH71" s="105"/>
      <c r="BI71" s="105"/>
      <c r="BJ71" s="106"/>
      <c r="BM71" s="54" t="str">
        <f>【結果】個人成績表!$A$1</f>
        <v>第8回　神奈滋対抗戦　　　(奈良；キングスポット)</v>
      </c>
      <c r="BN71" s="105"/>
      <c r="BO71" s="105"/>
      <c r="BP71" s="105"/>
      <c r="BQ71" s="105"/>
      <c r="BR71" s="105"/>
      <c r="BS71" s="106"/>
      <c r="BT71" t="s">
        <v>23</v>
      </c>
    </row>
    <row r="73" spans="2:72" s="107" customFormat="1" ht="15" customHeight="1">
      <c r="B73" s="53" t="s">
        <v>25</v>
      </c>
      <c r="C73" s="94">
        <f>【進行】結果入力表!B55</f>
        <v>49</v>
      </c>
      <c r="F73" s="53" t="s">
        <v>26</v>
      </c>
      <c r="G73" s="94"/>
      <c r="K73" s="53" t="s">
        <v>25</v>
      </c>
      <c r="L73" s="94">
        <f>【進行】結果入力表!B56</f>
        <v>50</v>
      </c>
      <c r="O73" s="53" t="s">
        <v>26</v>
      </c>
      <c r="P73" s="94"/>
      <c r="T73" s="53" t="s">
        <v>25</v>
      </c>
      <c r="U73" s="94">
        <f>【進行】結果入力表!B57</f>
        <v>51</v>
      </c>
      <c r="X73" s="53" t="s">
        <v>26</v>
      </c>
      <c r="Y73" s="94"/>
      <c r="AC73" s="53" t="s">
        <v>25</v>
      </c>
      <c r="AD73" s="94">
        <f>【進行】結果入力表!B58</f>
        <v>52</v>
      </c>
      <c r="AG73" s="53" t="s">
        <v>26</v>
      </c>
      <c r="AH73" s="94"/>
      <c r="AL73" s="53" t="s">
        <v>25</v>
      </c>
      <c r="AM73" s="94">
        <f>【進行】結果入力表!B59</f>
        <v>53</v>
      </c>
      <c r="AP73" s="53" t="s">
        <v>26</v>
      </c>
      <c r="AQ73" s="94"/>
      <c r="AU73" s="53" t="s">
        <v>25</v>
      </c>
      <c r="AV73" s="94">
        <f>【進行】結果入力表!B60</f>
        <v>54</v>
      </c>
      <c r="AY73" s="53" t="s">
        <v>26</v>
      </c>
      <c r="AZ73" s="94"/>
      <c r="BD73" s="53" t="s">
        <v>25</v>
      </c>
      <c r="BE73" s="94">
        <f>【進行】結果入力表!B61</f>
        <v>55</v>
      </c>
      <c r="BH73" s="53" t="s">
        <v>26</v>
      </c>
      <c r="BI73" s="94"/>
      <c r="BM73" s="53" t="s">
        <v>25</v>
      </c>
      <c r="BN73" s="94">
        <f>【進行】結果入力表!B62</f>
        <v>56</v>
      </c>
      <c r="BQ73" s="53" t="s">
        <v>26</v>
      </c>
      <c r="BR73" s="94"/>
    </row>
    <row r="75" spans="2:72" ht="31.5" customHeight="1">
      <c r="B75" s="108" t="str">
        <f>VLOOKUP(C73,【進行】結果入力表!$B$7:$J$78,2,FALSE)</f>
        <v>NRC</v>
      </c>
      <c r="C75" s="109"/>
      <c r="D75" s="110"/>
      <c r="E75" s="111" t="s">
        <v>27</v>
      </c>
      <c r="F75" s="112" t="str">
        <f>VLOOKUP(C73,【進行】結果入力表!$B$7:$J$78,9,FALSE)</f>
        <v>SBC</v>
      </c>
      <c r="G75" s="109"/>
      <c r="H75" s="113"/>
      <c r="K75" s="108" t="str">
        <f>VLOOKUP(L73,【進行】結果入力表!$B$7:$J$78,2,FALSE)</f>
        <v>NRC</v>
      </c>
      <c r="L75" s="109"/>
      <c r="M75" s="110"/>
      <c r="N75" s="111" t="s">
        <v>27</v>
      </c>
      <c r="O75" s="112" t="str">
        <f>VLOOKUP(L73,【進行】結果入力表!$B$7:$J$78,9,FALSE)</f>
        <v>SBC</v>
      </c>
      <c r="P75" s="109"/>
      <c r="Q75" s="113"/>
      <c r="T75" s="108" t="str">
        <f>VLOOKUP(U73,【進行】結果入力表!$B$7:$J$78,2,FALSE)</f>
        <v>NRC</v>
      </c>
      <c r="U75" s="109"/>
      <c r="V75" s="110"/>
      <c r="W75" s="111" t="s">
        <v>27</v>
      </c>
      <c r="X75" s="112" t="str">
        <f>VLOOKUP(U73,【進行】結果入力表!$B$7:$J$78,9,FALSE)</f>
        <v>SBC</v>
      </c>
      <c r="Y75" s="109"/>
      <c r="Z75" s="113"/>
      <c r="AC75" s="108" t="str">
        <f>VLOOKUP(AD73,【進行】結果入力表!$B$7:$J$78,2,FALSE)</f>
        <v>NRC</v>
      </c>
      <c r="AD75" s="109"/>
      <c r="AE75" s="110"/>
      <c r="AF75" s="111" t="s">
        <v>27</v>
      </c>
      <c r="AG75" s="112" t="str">
        <f>VLOOKUP(AD73,【進行】結果入力表!$B$7:$J$78,9,FALSE)</f>
        <v>SBC</v>
      </c>
      <c r="AH75" s="109"/>
      <c r="AI75" s="113"/>
      <c r="AL75" s="108" t="str">
        <f>VLOOKUP(AM73,【進行】結果入力表!$B$7:$J$78,2,FALSE)</f>
        <v>NRC</v>
      </c>
      <c r="AM75" s="109"/>
      <c r="AN75" s="110"/>
      <c r="AO75" s="111" t="s">
        <v>27</v>
      </c>
      <c r="AP75" s="112" t="str">
        <f>VLOOKUP(AM73,【進行】結果入力表!$B$7:$J$78,9,FALSE)</f>
        <v>SBC</v>
      </c>
      <c r="AQ75" s="109"/>
      <c r="AR75" s="113"/>
      <c r="AU75" s="108" t="str">
        <f>VLOOKUP(AV73,【進行】結果入力表!$B$7:$J$78,2,FALSE)</f>
        <v>NRC</v>
      </c>
      <c r="AV75" s="109"/>
      <c r="AW75" s="110"/>
      <c r="AX75" s="111" t="s">
        <v>27</v>
      </c>
      <c r="AY75" s="112" t="str">
        <f>VLOOKUP(AV73,【進行】結果入力表!$B$7:$J$78,9,FALSE)</f>
        <v>SBC</v>
      </c>
      <c r="AZ75" s="109"/>
      <c r="BA75" s="113"/>
      <c r="BD75" s="108" t="e">
        <f>VLOOKUP(BE73,【進行】結果入力表!$B$7:$J$78,2,FALSE)</f>
        <v>#N/A</v>
      </c>
      <c r="BE75" s="109"/>
      <c r="BF75" s="110"/>
      <c r="BG75" s="111" t="s">
        <v>27</v>
      </c>
      <c r="BH75" s="112" t="e">
        <f>VLOOKUP(BE73,【進行】結果入力表!$B$7:$J$78,9,FALSE)</f>
        <v>#N/A</v>
      </c>
      <c r="BI75" s="109"/>
      <c r="BJ75" s="113"/>
      <c r="BM75" s="108" t="e">
        <f>VLOOKUP(BN73,【進行】結果入力表!$B$7:$J$78,2,FALSE)</f>
        <v>#N/A</v>
      </c>
      <c r="BN75" s="109"/>
      <c r="BO75" s="110"/>
      <c r="BP75" s="111" t="s">
        <v>27</v>
      </c>
      <c r="BQ75" s="112" t="e">
        <f>VLOOKUP(BN73,【進行】結果入力表!$B$7:$J$78,9,FALSE)</f>
        <v>#N/A</v>
      </c>
      <c r="BR75" s="109"/>
      <c r="BS75" s="113"/>
    </row>
    <row r="76" spans="2:72" s="233" customFormat="1" ht="46.5" customHeight="1">
      <c r="B76" s="227" t="str">
        <f>VLOOKUP(C73,【進行】結果入力表!$B$7:$J$78,3,FALSE)</f>
        <v>吉向翔平</v>
      </c>
      <c r="C76" s="228"/>
      <c r="D76" s="229"/>
      <c r="E76" s="230" t="s">
        <v>28</v>
      </c>
      <c r="F76" s="231" t="str">
        <f>VLOOKUP(C73,【進行】結果入力表!$B$7:$J$78,8,FALSE)</f>
        <v>西峰久祐</v>
      </c>
      <c r="G76" s="228"/>
      <c r="H76" s="232"/>
      <c r="K76" s="227" t="str">
        <f>VLOOKUP(L73,【進行】結果入力表!$B$7:$J$78,3,FALSE)</f>
        <v>岩本剛</v>
      </c>
      <c r="L76" s="228"/>
      <c r="M76" s="229"/>
      <c r="N76" s="230" t="s">
        <v>28</v>
      </c>
      <c r="O76" s="231" t="str">
        <f>VLOOKUP(L73,【進行】結果入力表!$B$7:$J$78,8,FALSE)</f>
        <v>大橋義治</v>
      </c>
      <c r="P76" s="228"/>
      <c r="Q76" s="232"/>
      <c r="T76" s="227" t="str">
        <f>VLOOKUP(U73,【進行】結果入力表!$B$7:$J$78,3,FALSE)</f>
        <v>長谷川進</v>
      </c>
      <c r="U76" s="228"/>
      <c r="V76" s="229"/>
      <c r="W76" s="230" t="s">
        <v>28</v>
      </c>
      <c r="X76" s="231" t="str">
        <f>VLOOKUP(U73,【進行】結果入力表!$B$7:$J$78,8,FALSE)</f>
        <v>山中康寛</v>
      </c>
      <c r="Y76" s="228"/>
      <c r="Z76" s="232"/>
      <c r="AC76" s="227" t="str">
        <f>VLOOKUP(AD73,【進行】結果入力表!$B$7:$J$78,3,FALSE)</f>
        <v>井本高史</v>
      </c>
      <c r="AD76" s="228"/>
      <c r="AE76" s="229"/>
      <c r="AF76" s="230" t="s">
        <v>28</v>
      </c>
      <c r="AG76" s="231" t="str">
        <f>VLOOKUP(AD73,【進行】結果入力表!$B$7:$J$78,8,FALSE)</f>
        <v>大橋洋子</v>
      </c>
      <c r="AH76" s="228"/>
      <c r="AI76" s="232"/>
      <c r="AL76" s="227" t="str">
        <f>VLOOKUP(AM73,【進行】結果入力表!$B$7:$J$78,3,FALSE)</f>
        <v>金澤茂昌</v>
      </c>
      <c r="AM76" s="228"/>
      <c r="AN76" s="229"/>
      <c r="AO76" s="230" t="s">
        <v>28</v>
      </c>
      <c r="AP76" s="231" t="str">
        <f>VLOOKUP(AM73,【進行】結果入力表!$B$7:$J$78,8,FALSE)</f>
        <v>大橋正寛</v>
      </c>
      <c r="AQ76" s="228"/>
      <c r="AR76" s="232"/>
      <c r="AU76" s="227" t="str">
        <f>VLOOKUP(AV73,【進行】結果入力表!$B$7:$J$78,3,FALSE)</f>
        <v>宮野早織</v>
      </c>
      <c r="AV76" s="228"/>
      <c r="AW76" s="229"/>
      <c r="AX76" s="230" t="s">
        <v>28</v>
      </c>
      <c r="AY76" s="231" t="str">
        <f>VLOOKUP(AV73,【進行】結果入力表!$B$7:$J$78,8,FALSE)</f>
        <v>長田智紀</v>
      </c>
      <c r="AZ76" s="228"/>
      <c r="BA76" s="232"/>
      <c r="BD76" s="227" t="e">
        <f>VLOOKUP(BE73,【進行】結果入力表!$B$7:$J$78,3,FALSE)</f>
        <v>#N/A</v>
      </c>
      <c r="BE76" s="228"/>
      <c r="BF76" s="229"/>
      <c r="BG76" s="230" t="s">
        <v>28</v>
      </c>
      <c r="BH76" s="231" t="e">
        <f>VLOOKUP(BE73,【進行】結果入力表!$B$7:$J$78,8,FALSE)</f>
        <v>#N/A</v>
      </c>
      <c r="BI76" s="228"/>
      <c r="BJ76" s="232"/>
      <c r="BM76" s="227" t="e">
        <f>VLOOKUP(BN73,【進行】結果入力表!$B$7:$J$78,3,FALSE)</f>
        <v>#N/A</v>
      </c>
      <c r="BN76" s="228"/>
      <c r="BO76" s="229"/>
      <c r="BP76" s="230" t="s">
        <v>28</v>
      </c>
      <c r="BQ76" s="231" t="e">
        <f>VLOOKUP(BN73,【進行】結果入力表!$B$7:$J$78,8,FALSE)</f>
        <v>#N/A</v>
      </c>
      <c r="BR76" s="228"/>
      <c r="BS76" s="232"/>
    </row>
    <row r="77" spans="2:72" ht="37.5" customHeight="1">
      <c r="B77" s="118"/>
      <c r="C77" s="49"/>
      <c r="D77" s="50"/>
      <c r="E77" s="115" t="s">
        <v>29</v>
      </c>
      <c r="F77" s="119"/>
      <c r="G77" s="49"/>
      <c r="H77" s="117"/>
      <c r="K77" s="118"/>
      <c r="L77" s="49"/>
      <c r="M77" s="50"/>
      <c r="N77" s="115" t="s">
        <v>29</v>
      </c>
      <c r="O77" s="119"/>
      <c r="P77" s="49"/>
      <c r="Q77" s="117"/>
      <c r="T77" s="118"/>
      <c r="U77" s="49"/>
      <c r="V77" s="50"/>
      <c r="W77" s="115" t="s">
        <v>29</v>
      </c>
      <c r="X77" s="119"/>
      <c r="Y77" s="49"/>
      <c r="Z77" s="117"/>
      <c r="AC77" s="118"/>
      <c r="AD77" s="49"/>
      <c r="AE77" s="50"/>
      <c r="AF77" s="115" t="s">
        <v>29</v>
      </c>
      <c r="AG77" s="119"/>
      <c r="AH77" s="49"/>
      <c r="AI77" s="117"/>
      <c r="AL77" s="118"/>
      <c r="AM77" s="49"/>
      <c r="AN77" s="50"/>
      <c r="AO77" s="115" t="s">
        <v>29</v>
      </c>
      <c r="AP77" s="119"/>
      <c r="AQ77" s="49"/>
      <c r="AR77" s="117"/>
      <c r="AU77" s="118"/>
      <c r="AV77" s="49"/>
      <c r="AW77" s="50"/>
      <c r="AX77" s="115" t="s">
        <v>29</v>
      </c>
      <c r="AY77" s="119"/>
      <c r="AZ77" s="49"/>
      <c r="BA77" s="117"/>
      <c r="BD77" s="118"/>
      <c r="BE77" s="49"/>
      <c r="BF77" s="50"/>
      <c r="BG77" s="115" t="s">
        <v>29</v>
      </c>
      <c r="BH77" s="119"/>
      <c r="BI77" s="49"/>
      <c r="BJ77" s="117"/>
      <c r="BM77" s="118"/>
      <c r="BN77" s="49"/>
      <c r="BO77" s="50"/>
      <c r="BP77" s="115" t="s">
        <v>29</v>
      </c>
      <c r="BQ77" s="119"/>
      <c r="BR77" s="49"/>
      <c r="BS77" s="117"/>
    </row>
    <row r="78" spans="2:72" ht="37.5" customHeight="1">
      <c r="B78" s="120"/>
      <c r="C78" s="121"/>
      <c r="D78" s="122"/>
      <c r="E78" s="123" t="s">
        <v>30</v>
      </c>
      <c r="F78" s="124"/>
      <c r="G78" s="121"/>
      <c r="H78" s="125"/>
      <c r="K78" s="120"/>
      <c r="L78" s="121"/>
      <c r="M78" s="122"/>
      <c r="N78" s="123" t="s">
        <v>30</v>
      </c>
      <c r="O78" s="124"/>
      <c r="P78" s="121"/>
      <c r="Q78" s="125"/>
      <c r="T78" s="120"/>
      <c r="U78" s="121"/>
      <c r="V78" s="122"/>
      <c r="W78" s="123" t="s">
        <v>30</v>
      </c>
      <c r="X78" s="124"/>
      <c r="Y78" s="121"/>
      <c r="Z78" s="125"/>
      <c r="AC78" s="120"/>
      <c r="AD78" s="121"/>
      <c r="AE78" s="122"/>
      <c r="AF78" s="123" t="s">
        <v>30</v>
      </c>
      <c r="AG78" s="124"/>
      <c r="AH78" s="121"/>
      <c r="AI78" s="125"/>
      <c r="AL78" s="120"/>
      <c r="AM78" s="121"/>
      <c r="AN78" s="122"/>
      <c r="AO78" s="123" t="s">
        <v>30</v>
      </c>
      <c r="AP78" s="124"/>
      <c r="AQ78" s="121"/>
      <c r="AR78" s="125"/>
      <c r="AU78" s="120"/>
      <c r="AV78" s="121"/>
      <c r="AW78" s="122"/>
      <c r="AX78" s="123" t="s">
        <v>30</v>
      </c>
      <c r="AY78" s="124"/>
      <c r="AZ78" s="121"/>
      <c r="BA78" s="125"/>
      <c r="BD78" s="120"/>
      <c r="BE78" s="121"/>
      <c r="BF78" s="122"/>
      <c r="BG78" s="123" t="s">
        <v>30</v>
      </c>
      <c r="BH78" s="124"/>
      <c r="BI78" s="121"/>
      <c r="BJ78" s="125"/>
      <c r="BM78" s="120"/>
      <c r="BN78" s="121"/>
      <c r="BO78" s="122"/>
      <c r="BP78" s="123" t="s">
        <v>30</v>
      </c>
      <c r="BQ78" s="124"/>
      <c r="BR78" s="121"/>
      <c r="BS78" s="125"/>
    </row>
    <row r="80" spans="2:72" ht="16.2">
      <c r="D80" s="53"/>
      <c r="E80" s="85" t="s">
        <v>32</v>
      </c>
      <c r="F80" s="235" t="str">
        <f>VLOOKUP(C73,【進行】結果入力表!$B$7:$M$78,11,FALSE)</f>
        <v>HRC</v>
      </c>
      <c r="G80" s="87" t="str">
        <f>VLOOKUP(C73,【進行】結果入力表!$B$7:$M$78,12,FALSE)</f>
        <v>金井健太郎</v>
      </c>
      <c r="H80" s="53"/>
      <c r="M80" s="53"/>
      <c r="N80" s="85" t="s">
        <v>32</v>
      </c>
      <c r="O80" s="235" t="str">
        <f>VLOOKUP(L73,【進行】結果入力表!$B$7:$M$78,11,FALSE)</f>
        <v>HRC</v>
      </c>
      <c r="P80" s="87" t="str">
        <f>VLOOKUP(L73,【進行】結果入力表!$B$7:$M$78,12,FALSE)</f>
        <v>河地恵里</v>
      </c>
      <c r="Q80" s="53"/>
      <c r="V80" s="53"/>
      <c r="W80" s="85" t="s">
        <v>32</v>
      </c>
      <c r="X80" s="235" t="str">
        <f>VLOOKUP(U73,【進行】結果入力表!$B$7:$M$78,11,FALSE)</f>
        <v>HRC</v>
      </c>
      <c r="Y80" s="87" t="str">
        <f>VLOOKUP(U73,【進行】結果入力表!$B$7:$M$78,12,FALSE)</f>
        <v>宮本一</v>
      </c>
      <c r="Z80" s="53"/>
      <c r="AE80" s="53"/>
      <c r="AF80" s="85" t="s">
        <v>32</v>
      </c>
      <c r="AG80" s="235" t="str">
        <f>VLOOKUP(AD73,【進行】結果入力表!$B$7:$M$78,11,FALSE)</f>
        <v>HRC</v>
      </c>
      <c r="AH80" s="87" t="str">
        <f>VLOOKUP(AD73,【進行】結果入力表!$B$7:$M$78,12,FALSE)</f>
        <v>堂園雅也</v>
      </c>
      <c r="AI80" s="53"/>
      <c r="AN80" s="53"/>
      <c r="AO80" s="85" t="s">
        <v>32</v>
      </c>
      <c r="AP80" s="235" t="str">
        <f>VLOOKUP(AM73,【進行】結果入力表!$B$7:$M$78,11,FALSE)</f>
        <v>HRC</v>
      </c>
      <c r="AQ80" s="87" t="str">
        <f>VLOOKUP(AM73,【進行】結果入力表!$B$7:$M$78,12,FALSE)</f>
        <v>平井洸志</v>
      </c>
      <c r="AR80" s="53"/>
      <c r="AW80" s="53"/>
      <c r="AX80" s="85" t="s">
        <v>32</v>
      </c>
      <c r="AY80" s="235" t="str">
        <f>VLOOKUP(AV73,【進行】結果入力表!$B$7:$M$78,11,FALSE)</f>
        <v>HRC</v>
      </c>
      <c r="AZ80" s="87" t="str">
        <f>VLOOKUP(AV73,【進行】結果入力表!$B$7:$M$78,12,FALSE)</f>
        <v>宮井健太郎</v>
      </c>
      <c r="BA80" s="53"/>
      <c r="BF80" s="53"/>
      <c r="BG80" s="85" t="s">
        <v>32</v>
      </c>
      <c r="BH80" s="235" t="e">
        <f>VLOOKUP(BE73,【進行】結果入力表!$B$7:$M$78,11,FALSE)</f>
        <v>#N/A</v>
      </c>
      <c r="BI80" s="87" t="e">
        <f>VLOOKUP(BE73,【進行】結果入力表!$B$7:$M$78,12,FALSE)</f>
        <v>#N/A</v>
      </c>
      <c r="BJ80" s="53"/>
      <c r="BO80" s="53"/>
      <c r="BP80" s="85" t="s">
        <v>32</v>
      </c>
      <c r="BQ80" s="235" t="e">
        <f>VLOOKUP(BN73,【進行】結果入力表!$B$7:$M$78,11,FALSE)</f>
        <v>#N/A</v>
      </c>
      <c r="BR80" s="87" t="e">
        <f>VLOOKUP(BN73,【進行】結果入力表!$B$7:$M$78,12,FALSE)</f>
        <v>#N/A</v>
      </c>
      <c r="BS80" s="53"/>
    </row>
    <row r="81" spans="2:72" ht="15" customHeight="1">
      <c r="B81" s="54" t="str">
        <f>【結果】個人成績表!$A$1</f>
        <v>第8回　神奈滋対抗戦　　　(奈良；キングスポット)</v>
      </c>
      <c r="C81" s="105"/>
      <c r="D81" s="105"/>
      <c r="E81" s="105"/>
      <c r="F81" s="105"/>
      <c r="G81" s="105"/>
      <c r="H81" s="106"/>
      <c r="K81" s="54" t="str">
        <f>【結果】個人成績表!$A$1</f>
        <v>第8回　神奈滋対抗戦　　　(奈良；キングスポット)</v>
      </c>
      <c r="L81" s="105"/>
      <c r="M81" s="105"/>
      <c r="N81" s="105"/>
      <c r="O81" s="105"/>
      <c r="P81" s="105"/>
      <c r="Q81" s="106"/>
      <c r="T81" s="54" t="str">
        <f>【結果】個人成績表!$A$1</f>
        <v>第8回　神奈滋対抗戦　　　(奈良；キングスポット)</v>
      </c>
      <c r="U81" s="105"/>
      <c r="V81" s="105"/>
      <c r="W81" s="105"/>
      <c r="X81" s="105"/>
      <c r="Y81" s="105"/>
      <c r="Z81" s="106"/>
      <c r="AC81" s="54" t="str">
        <f>【結果】個人成績表!$A$1</f>
        <v>第8回　神奈滋対抗戦　　　(奈良；キングスポット)</v>
      </c>
      <c r="AD81" s="105"/>
      <c r="AE81" s="105"/>
      <c r="AF81" s="105"/>
      <c r="AG81" s="105"/>
      <c r="AH81" s="105"/>
      <c r="AI81" s="106"/>
      <c r="AL81" s="54" t="str">
        <f>【結果】個人成績表!$A$1</f>
        <v>第8回　神奈滋対抗戦　　　(奈良；キングスポット)</v>
      </c>
      <c r="AM81" s="105"/>
      <c r="AN81" s="105"/>
      <c r="AO81" s="105"/>
      <c r="AP81" s="105"/>
      <c r="AQ81" s="105"/>
      <c r="AR81" s="106"/>
      <c r="AU81" s="54" t="str">
        <f>【結果】個人成績表!$A$1</f>
        <v>第8回　神奈滋対抗戦　　　(奈良；キングスポット)</v>
      </c>
      <c r="AV81" s="105"/>
      <c r="AW81" s="105"/>
      <c r="AX81" s="105"/>
      <c r="AY81" s="105"/>
      <c r="AZ81" s="105"/>
      <c r="BA81" s="106"/>
      <c r="BD81" s="54" t="str">
        <f>【結果】個人成績表!$A$1</f>
        <v>第8回　神奈滋対抗戦　　　(奈良；キングスポット)</v>
      </c>
      <c r="BE81" s="105"/>
      <c r="BF81" s="105"/>
      <c r="BG81" s="105"/>
      <c r="BH81" s="105"/>
      <c r="BI81" s="105"/>
      <c r="BJ81" s="106"/>
      <c r="BM81" s="54" t="str">
        <f>【結果】個人成績表!$A$1</f>
        <v>第8回　神奈滋対抗戦　　　(奈良；キングスポット)</v>
      </c>
      <c r="BN81" s="105"/>
      <c r="BO81" s="105"/>
      <c r="BP81" s="105"/>
      <c r="BQ81" s="105"/>
      <c r="BR81" s="105"/>
      <c r="BS81" s="106"/>
      <c r="BT81" t="s">
        <v>23</v>
      </c>
    </row>
    <row r="83" spans="2:72" s="107" customFormat="1" ht="15" customHeight="1">
      <c r="B83" s="53" t="s">
        <v>25</v>
      </c>
      <c r="C83" s="94">
        <f>【進行】結果入力表!B63</f>
        <v>57</v>
      </c>
      <c r="F83" s="53" t="s">
        <v>26</v>
      </c>
      <c r="G83" s="94"/>
      <c r="K83" s="53" t="s">
        <v>25</v>
      </c>
      <c r="L83" s="94">
        <f>【進行】結果入力表!B64</f>
        <v>58</v>
      </c>
      <c r="O83" s="53" t="s">
        <v>26</v>
      </c>
      <c r="P83" s="94"/>
      <c r="T83" s="53" t="s">
        <v>25</v>
      </c>
      <c r="U83" s="94">
        <f>【進行】結果入力表!B65</f>
        <v>59</v>
      </c>
      <c r="X83" s="53" t="s">
        <v>26</v>
      </c>
      <c r="Y83" s="94"/>
      <c r="AC83" s="53" t="s">
        <v>25</v>
      </c>
      <c r="AD83" s="94">
        <f>【進行】結果入力表!B66</f>
        <v>60</v>
      </c>
      <c r="AG83" s="53" t="s">
        <v>26</v>
      </c>
      <c r="AH83" s="94"/>
      <c r="AL83" s="53" t="s">
        <v>25</v>
      </c>
      <c r="AM83" s="94">
        <f>【進行】結果入力表!B67</f>
        <v>61</v>
      </c>
      <c r="AP83" s="53" t="s">
        <v>26</v>
      </c>
      <c r="AQ83" s="94"/>
      <c r="AU83" s="53" t="s">
        <v>25</v>
      </c>
      <c r="AV83" s="94">
        <f>【進行】結果入力表!B68</f>
        <v>62</v>
      </c>
      <c r="AY83" s="53" t="s">
        <v>26</v>
      </c>
      <c r="AZ83" s="94"/>
      <c r="BD83" s="53" t="s">
        <v>25</v>
      </c>
      <c r="BE83" s="94">
        <f>【進行】結果入力表!B69</f>
        <v>63</v>
      </c>
      <c r="BH83" s="53" t="s">
        <v>26</v>
      </c>
      <c r="BI83" s="94"/>
      <c r="BM83" s="53" t="s">
        <v>25</v>
      </c>
      <c r="BN83" s="94">
        <f>【進行】結果入力表!B70</f>
        <v>64</v>
      </c>
      <c r="BQ83" s="53" t="s">
        <v>26</v>
      </c>
      <c r="BR83" s="94"/>
    </row>
    <row r="85" spans="2:72" ht="31.5" customHeight="1">
      <c r="B85" s="108" t="e">
        <f>VLOOKUP(C83,【進行】結果入力表!$B$7:$J$78,2,FALSE)</f>
        <v>#N/A</v>
      </c>
      <c r="C85" s="109"/>
      <c r="D85" s="110"/>
      <c r="E85" s="111" t="s">
        <v>27</v>
      </c>
      <c r="F85" s="112" t="e">
        <f>VLOOKUP(C83,【進行】結果入力表!$B$7:$J$78,9,FALSE)</f>
        <v>#N/A</v>
      </c>
      <c r="G85" s="109"/>
      <c r="H85" s="113"/>
      <c r="K85" s="108" t="e">
        <f>VLOOKUP(L83,【進行】結果入力表!$B$7:$J$78,2,FALSE)</f>
        <v>#N/A</v>
      </c>
      <c r="L85" s="109"/>
      <c r="M85" s="110"/>
      <c r="N85" s="111" t="s">
        <v>27</v>
      </c>
      <c r="O85" s="112" t="e">
        <f>VLOOKUP(L83,【進行】結果入力表!$B$7:$J$78,9,FALSE)</f>
        <v>#N/A</v>
      </c>
      <c r="P85" s="109"/>
      <c r="Q85" s="113"/>
      <c r="T85" s="108" t="e">
        <f>VLOOKUP(U83,【進行】結果入力表!$B$7:$J$78,2,FALSE)</f>
        <v>#N/A</v>
      </c>
      <c r="U85" s="109"/>
      <c r="V85" s="110"/>
      <c r="W85" s="111" t="s">
        <v>27</v>
      </c>
      <c r="X85" s="112" t="e">
        <f>VLOOKUP(U83,【進行】結果入力表!$B$7:$J$78,9,FALSE)</f>
        <v>#N/A</v>
      </c>
      <c r="Y85" s="109"/>
      <c r="Z85" s="113"/>
      <c r="AC85" s="108" t="e">
        <f>VLOOKUP(AD83,【進行】結果入力表!$B$7:$J$78,2,FALSE)</f>
        <v>#N/A</v>
      </c>
      <c r="AD85" s="109"/>
      <c r="AE85" s="110"/>
      <c r="AF85" s="111" t="s">
        <v>27</v>
      </c>
      <c r="AG85" s="112" t="e">
        <f>VLOOKUP(AD83,【進行】結果入力表!$B$7:$J$78,9,FALSE)</f>
        <v>#N/A</v>
      </c>
      <c r="AH85" s="109"/>
      <c r="AI85" s="113"/>
      <c r="AL85" s="108" t="e">
        <f>VLOOKUP(AM83,【進行】結果入力表!$B$7:$J$78,2,FALSE)</f>
        <v>#N/A</v>
      </c>
      <c r="AM85" s="109"/>
      <c r="AN85" s="110"/>
      <c r="AO85" s="111" t="s">
        <v>27</v>
      </c>
      <c r="AP85" s="112" t="e">
        <f>VLOOKUP(AM83,【進行】結果入力表!$B$7:$J$78,9,FALSE)</f>
        <v>#N/A</v>
      </c>
      <c r="AQ85" s="109"/>
      <c r="AR85" s="113"/>
      <c r="AU85" s="108" t="e">
        <f>VLOOKUP(AV83,【進行】結果入力表!$B$7:$J$78,2,FALSE)</f>
        <v>#N/A</v>
      </c>
      <c r="AV85" s="109"/>
      <c r="AW85" s="110"/>
      <c r="AX85" s="111" t="s">
        <v>27</v>
      </c>
      <c r="AY85" s="112" t="e">
        <f>VLOOKUP(AV83,【進行】結果入力表!$B$7:$J$78,9,FALSE)</f>
        <v>#N/A</v>
      </c>
      <c r="AZ85" s="109"/>
      <c r="BA85" s="113"/>
      <c r="BD85" s="108" t="e">
        <f>VLOOKUP(BE83,【進行】結果入力表!$B$7:$J$78,2,FALSE)</f>
        <v>#N/A</v>
      </c>
      <c r="BE85" s="109"/>
      <c r="BF85" s="110"/>
      <c r="BG85" s="111" t="s">
        <v>27</v>
      </c>
      <c r="BH85" s="112" t="e">
        <f>VLOOKUP(BE83,【進行】結果入力表!$B$7:$J$78,9,FALSE)</f>
        <v>#N/A</v>
      </c>
      <c r="BI85" s="109"/>
      <c r="BJ85" s="113"/>
      <c r="BM85" s="108" t="e">
        <f>VLOOKUP(BN83,【進行】結果入力表!$B$7:$J$78,2,FALSE)</f>
        <v>#N/A</v>
      </c>
      <c r="BN85" s="109"/>
      <c r="BO85" s="110"/>
      <c r="BP85" s="111" t="s">
        <v>27</v>
      </c>
      <c r="BQ85" s="112" t="e">
        <f>VLOOKUP(BN83,【進行】結果入力表!$B$7:$J$78,9,FALSE)</f>
        <v>#N/A</v>
      </c>
      <c r="BR85" s="109"/>
      <c r="BS85" s="113"/>
    </row>
    <row r="86" spans="2:72" s="233" customFormat="1" ht="46.5" customHeight="1">
      <c r="B86" s="227" t="e">
        <f>VLOOKUP(C83,【進行】結果入力表!$B$7:$J$78,3,FALSE)</f>
        <v>#N/A</v>
      </c>
      <c r="C86" s="228"/>
      <c r="D86" s="229"/>
      <c r="E86" s="230" t="s">
        <v>28</v>
      </c>
      <c r="F86" s="231" t="e">
        <f>VLOOKUP(C83,【進行】結果入力表!$B$7:$J$78,8,FALSE)</f>
        <v>#N/A</v>
      </c>
      <c r="G86" s="228"/>
      <c r="H86" s="232"/>
      <c r="K86" s="227" t="e">
        <f>VLOOKUP(L83,【進行】結果入力表!$B$7:$J$78,3,FALSE)</f>
        <v>#N/A</v>
      </c>
      <c r="L86" s="228"/>
      <c r="M86" s="229"/>
      <c r="N86" s="230" t="s">
        <v>28</v>
      </c>
      <c r="O86" s="231" t="e">
        <f>VLOOKUP(L83,【進行】結果入力表!$B$7:$J$78,8,FALSE)</f>
        <v>#N/A</v>
      </c>
      <c r="P86" s="228"/>
      <c r="Q86" s="232"/>
      <c r="T86" s="227" t="e">
        <f>VLOOKUP(U83,【進行】結果入力表!$B$7:$J$78,3,FALSE)</f>
        <v>#N/A</v>
      </c>
      <c r="U86" s="228"/>
      <c r="V86" s="229"/>
      <c r="W86" s="230" t="s">
        <v>28</v>
      </c>
      <c r="X86" s="231" t="e">
        <f>VLOOKUP(U83,【進行】結果入力表!$B$7:$J$78,8,FALSE)</f>
        <v>#N/A</v>
      </c>
      <c r="Y86" s="228"/>
      <c r="Z86" s="232"/>
      <c r="AC86" s="227" t="e">
        <f>VLOOKUP(AD83,【進行】結果入力表!$B$7:$J$78,3,FALSE)</f>
        <v>#N/A</v>
      </c>
      <c r="AD86" s="228"/>
      <c r="AE86" s="229"/>
      <c r="AF86" s="230" t="s">
        <v>28</v>
      </c>
      <c r="AG86" s="231" t="e">
        <f>VLOOKUP(AD83,【進行】結果入力表!$B$7:$J$78,8,FALSE)</f>
        <v>#N/A</v>
      </c>
      <c r="AH86" s="228"/>
      <c r="AI86" s="232"/>
      <c r="AL86" s="227" t="e">
        <f>VLOOKUP(AM83,【進行】結果入力表!$B$7:$J$78,3,FALSE)</f>
        <v>#N/A</v>
      </c>
      <c r="AM86" s="228"/>
      <c r="AN86" s="229"/>
      <c r="AO86" s="230" t="s">
        <v>28</v>
      </c>
      <c r="AP86" s="231" t="e">
        <f>VLOOKUP(AM83,【進行】結果入力表!$B$7:$J$78,8,FALSE)</f>
        <v>#N/A</v>
      </c>
      <c r="AQ86" s="228"/>
      <c r="AR86" s="232"/>
      <c r="AU86" s="227" t="e">
        <f>VLOOKUP(AV83,【進行】結果入力表!$B$7:$J$78,3,FALSE)</f>
        <v>#N/A</v>
      </c>
      <c r="AV86" s="228"/>
      <c r="AW86" s="229"/>
      <c r="AX86" s="230" t="s">
        <v>28</v>
      </c>
      <c r="AY86" s="231" t="e">
        <f>VLOOKUP(AV83,【進行】結果入力表!$B$7:$J$78,8,FALSE)</f>
        <v>#N/A</v>
      </c>
      <c r="AZ86" s="228"/>
      <c r="BA86" s="232"/>
      <c r="BD86" s="227" t="e">
        <f>VLOOKUP(BE83,【進行】結果入力表!$B$7:$J$78,3,FALSE)</f>
        <v>#N/A</v>
      </c>
      <c r="BE86" s="228"/>
      <c r="BF86" s="229"/>
      <c r="BG86" s="230" t="s">
        <v>28</v>
      </c>
      <c r="BH86" s="231" t="e">
        <f>VLOOKUP(BE83,【進行】結果入力表!$B$7:$J$78,8,FALSE)</f>
        <v>#N/A</v>
      </c>
      <c r="BI86" s="228"/>
      <c r="BJ86" s="232"/>
      <c r="BM86" s="227" t="e">
        <f>VLOOKUP(BN83,【進行】結果入力表!$B$7:$J$78,3,FALSE)</f>
        <v>#N/A</v>
      </c>
      <c r="BN86" s="228"/>
      <c r="BO86" s="229"/>
      <c r="BP86" s="230" t="s">
        <v>28</v>
      </c>
      <c r="BQ86" s="231" t="e">
        <f>VLOOKUP(BN83,【進行】結果入力表!$B$7:$J$78,8,FALSE)</f>
        <v>#N/A</v>
      </c>
      <c r="BR86" s="228"/>
      <c r="BS86" s="232"/>
    </row>
    <row r="87" spans="2:72" ht="37.5" customHeight="1">
      <c r="B87" s="118"/>
      <c r="C87" s="49"/>
      <c r="D87" s="50"/>
      <c r="E87" s="115" t="s">
        <v>29</v>
      </c>
      <c r="F87" s="119"/>
      <c r="G87" s="49"/>
      <c r="H87" s="117"/>
      <c r="K87" s="118"/>
      <c r="L87" s="49"/>
      <c r="M87" s="50"/>
      <c r="N87" s="115" t="s">
        <v>29</v>
      </c>
      <c r="O87" s="119"/>
      <c r="P87" s="49"/>
      <c r="Q87" s="117"/>
      <c r="T87" s="118"/>
      <c r="U87" s="49"/>
      <c r="V87" s="50"/>
      <c r="W87" s="115" t="s">
        <v>29</v>
      </c>
      <c r="X87" s="119"/>
      <c r="Y87" s="49"/>
      <c r="Z87" s="117"/>
      <c r="AC87" s="118"/>
      <c r="AD87" s="49"/>
      <c r="AE87" s="50"/>
      <c r="AF87" s="115" t="s">
        <v>29</v>
      </c>
      <c r="AG87" s="119"/>
      <c r="AH87" s="49"/>
      <c r="AI87" s="117"/>
      <c r="AL87" s="118"/>
      <c r="AM87" s="49"/>
      <c r="AN87" s="50"/>
      <c r="AO87" s="115" t="s">
        <v>29</v>
      </c>
      <c r="AP87" s="119"/>
      <c r="AQ87" s="49"/>
      <c r="AR87" s="117"/>
      <c r="AU87" s="118"/>
      <c r="AV87" s="49"/>
      <c r="AW87" s="50"/>
      <c r="AX87" s="115" t="s">
        <v>29</v>
      </c>
      <c r="AY87" s="119"/>
      <c r="AZ87" s="49"/>
      <c r="BA87" s="117"/>
      <c r="BD87" s="118"/>
      <c r="BE87" s="49"/>
      <c r="BF87" s="50"/>
      <c r="BG87" s="115" t="s">
        <v>29</v>
      </c>
      <c r="BH87" s="119"/>
      <c r="BI87" s="49"/>
      <c r="BJ87" s="117"/>
      <c r="BM87" s="118"/>
      <c r="BN87" s="49"/>
      <c r="BO87" s="50"/>
      <c r="BP87" s="115" t="s">
        <v>29</v>
      </c>
      <c r="BQ87" s="119"/>
      <c r="BR87" s="49"/>
      <c r="BS87" s="117"/>
    </row>
    <row r="88" spans="2:72" ht="37.5" customHeight="1">
      <c r="B88" s="120"/>
      <c r="C88" s="121"/>
      <c r="D88" s="122"/>
      <c r="E88" s="123" t="s">
        <v>30</v>
      </c>
      <c r="F88" s="124"/>
      <c r="G88" s="121"/>
      <c r="H88" s="125"/>
      <c r="K88" s="120"/>
      <c r="L88" s="121"/>
      <c r="M88" s="122"/>
      <c r="N88" s="123" t="s">
        <v>30</v>
      </c>
      <c r="O88" s="124"/>
      <c r="P88" s="121"/>
      <c r="Q88" s="125"/>
      <c r="T88" s="120"/>
      <c r="U88" s="121"/>
      <c r="V88" s="122"/>
      <c r="W88" s="123" t="s">
        <v>30</v>
      </c>
      <c r="X88" s="124"/>
      <c r="Y88" s="121"/>
      <c r="Z88" s="125"/>
      <c r="AC88" s="120"/>
      <c r="AD88" s="121"/>
      <c r="AE88" s="122"/>
      <c r="AF88" s="123" t="s">
        <v>30</v>
      </c>
      <c r="AG88" s="124"/>
      <c r="AH88" s="121"/>
      <c r="AI88" s="125"/>
      <c r="AL88" s="120"/>
      <c r="AM88" s="121"/>
      <c r="AN88" s="122"/>
      <c r="AO88" s="123" t="s">
        <v>30</v>
      </c>
      <c r="AP88" s="124"/>
      <c r="AQ88" s="121"/>
      <c r="AR88" s="125"/>
      <c r="AU88" s="120"/>
      <c r="AV88" s="121"/>
      <c r="AW88" s="122"/>
      <c r="AX88" s="123" t="s">
        <v>30</v>
      </c>
      <c r="AY88" s="124"/>
      <c r="AZ88" s="121"/>
      <c r="BA88" s="125"/>
      <c r="BD88" s="120"/>
      <c r="BE88" s="121"/>
      <c r="BF88" s="122"/>
      <c r="BG88" s="123" t="s">
        <v>30</v>
      </c>
      <c r="BH88" s="124"/>
      <c r="BI88" s="121"/>
      <c r="BJ88" s="125"/>
      <c r="BM88" s="120"/>
      <c r="BN88" s="121"/>
      <c r="BO88" s="122"/>
      <c r="BP88" s="123" t="s">
        <v>30</v>
      </c>
      <c r="BQ88" s="124"/>
      <c r="BR88" s="121"/>
      <c r="BS88" s="125"/>
    </row>
    <row r="90" spans="2:72" ht="16.2">
      <c r="D90" s="53"/>
      <c r="E90" s="85" t="s">
        <v>32</v>
      </c>
      <c r="F90" s="235" t="str">
        <f>VLOOKUP(C83,【進行】結果入力表!$B$7:$M$78,11,FALSE)</f>
        <v>SBC</v>
      </c>
      <c r="G90" s="87" t="str">
        <f>VLOOKUP(C83,【進行】結果入力表!$B$7:$M$78,12,FALSE)</f>
        <v>西峰久祐</v>
      </c>
      <c r="H90" s="53"/>
      <c r="M90" s="53"/>
      <c r="N90" s="85" t="s">
        <v>32</v>
      </c>
      <c r="O90" s="235" t="str">
        <f>VLOOKUP(L83,【進行】結果入力表!$B$7:$M$78,11,FALSE)</f>
        <v>SBC</v>
      </c>
      <c r="P90" s="87" t="str">
        <f>VLOOKUP(L83,【進行】結果入力表!$B$7:$M$78,12,FALSE)</f>
        <v>大橋義治</v>
      </c>
      <c r="Q90" s="53"/>
      <c r="V90" s="53"/>
      <c r="W90" s="85" t="s">
        <v>32</v>
      </c>
      <c r="X90" s="235" t="str">
        <f>VLOOKUP(U83,【進行】結果入力表!$B$7:$M$78,11,FALSE)</f>
        <v>SBC</v>
      </c>
      <c r="Y90" s="87" t="str">
        <f>VLOOKUP(U83,【進行】結果入力表!$B$7:$M$78,12,FALSE)</f>
        <v>山中康寛</v>
      </c>
      <c r="Z90" s="53"/>
      <c r="AE90" s="53"/>
      <c r="AF90" s="85" t="s">
        <v>32</v>
      </c>
      <c r="AG90" s="235" t="str">
        <f>VLOOKUP(AD83,【進行】結果入力表!$B$7:$M$78,11,FALSE)</f>
        <v>SBC</v>
      </c>
      <c r="AH90" s="87" t="str">
        <f>VLOOKUP(AD83,【進行】結果入力表!$B$7:$M$78,12,FALSE)</f>
        <v>大橋洋子</v>
      </c>
      <c r="AI90" s="53"/>
      <c r="AN90" s="53"/>
      <c r="AO90" s="85" t="s">
        <v>32</v>
      </c>
      <c r="AP90" s="235" t="str">
        <f>VLOOKUP(AM83,【進行】結果入力表!$B$7:$M$78,11,FALSE)</f>
        <v>SBC</v>
      </c>
      <c r="AQ90" s="87" t="str">
        <f>VLOOKUP(AM83,【進行】結果入力表!$B$7:$M$78,12,FALSE)</f>
        <v>大橋正寛</v>
      </c>
      <c r="AR90" s="53"/>
      <c r="AW90" s="53"/>
      <c r="AX90" s="85" t="s">
        <v>32</v>
      </c>
      <c r="AY90" s="235" t="str">
        <f>VLOOKUP(AV83,【進行】結果入力表!$B$7:$M$78,11,FALSE)</f>
        <v>SBC</v>
      </c>
      <c r="AZ90" s="87" t="str">
        <f>VLOOKUP(AV83,【進行】結果入力表!$B$7:$M$78,12,FALSE)</f>
        <v>長田智紀</v>
      </c>
      <c r="BA90" s="53"/>
      <c r="BF90" s="53"/>
      <c r="BG90" s="85" t="s">
        <v>32</v>
      </c>
      <c r="BH90" s="235" t="e">
        <f>VLOOKUP(BE83,【進行】結果入力表!$B$7:$M$78,11,FALSE)</f>
        <v>#N/A</v>
      </c>
      <c r="BI90" s="87" t="e">
        <f>VLOOKUP(BE83,【進行】結果入力表!$B$7:$M$78,12,FALSE)</f>
        <v>#N/A</v>
      </c>
      <c r="BJ90" s="53"/>
      <c r="BO90" s="53"/>
      <c r="BP90" s="85" t="s">
        <v>32</v>
      </c>
      <c r="BQ90" s="235" t="e">
        <f>VLOOKUP(BN83,【進行】結果入力表!$B$7:$M$78,11,FALSE)</f>
        <v>#N/A</v>
      </c>
      <c r="BR90" s="87" t="e">
        <f>VLOOKUP(BN83,【進行】結果入力表!$B$7:$M$78,12,FALSE)</f>
        <v>#N/A</v>
      </c>
      <c r="BS90" s="53"/>
    </row>
    <row r="91" spans="2:72" ht="15" customHeight="1">
      <c r="B91" s="54" t="str">
        <f>【結果】個人成績表!$A$1</f>
        <v>第8回　神奈滋対抗戦　　　(奈良；キングスポット)</v>
      </c>
      <c r="C91" s="105"/>
      <c r="D91" s="105"/>
      <c r="E91" s="105"/>
      <c r="F91" s="105"/>
      <c r="G91" s="105"/>
      <c r="H91" s="106"/>
      <c r="K91" s="54" t="str">
        <f>【結果】個人成績表!$A$1</f>
        <v>第8回　神奈滋対抗戦　　　(奈良；キングスポット)</v>
      </c>
      <c r="L91" s="105"/>
      <c r="M91" s="105"/>
      <c r="N91" s="105"/>
      <c r="O91" s="105"/>
      <c r="P91" s="105"/>
      <c r="Q91" s="106"/>
      <c r="T91" s="54" t="str">
        <f>【結果】個人成績表!$A$1</f>
        <v>第8回　神奈滋対抗戦　　　(奈良；キングスポット)</v>
      </c>
      <c r="U91" s="105"/>
      <c r="V91" s="105"/>
      <c r="W91" s="105"/>
      <c r="X91" s="105"/>
      <c r="Y91" s="105"/>
      <c r="Z91" s="106"/>
      <c r="AC91" s="54" t="str">
        <f>【結果】個人成績表!$A$1</f>
        <v>第8回　神奈滋対抗戦　　　(奈良；キングスポット)</v>
      </c>
      <c r="AD91" s="105"/>
      <c r="AE91" s="105"/>
      <c r="AF91" s="105"/>
      <c r="AG91" s="105"/>
      <c r="AH91" s="105"/>
      <c r="AI91" s="106"/>
      <c r="AL91" s="54" t="str">
        <f>【結果】個人成績表!$A$1</f>
        <v>第8回　神奈滋対抗戦　　　(奈良；キングスポット)</v>
      </c>
      <c r="AM91" s="105"/>
      <c r="AN91" s="105"/>
      <c r="AO91" s="105"/>
      <c r="AP91" s="105"/>
      <c r="AQ91" s="105"/>
      <c r="AR91" s="106"/>
      <c r="AU91" s="54" t="str">
        <f>【結果】個人成績表!$A$1</f>
        <v>第8回　神奈滋対抗戦　　　(奈良；キングスポット)</v>
      </c>
      <c r="AV91" s="105"/>
      <c r="AW91" s="105"/>
      <c r="AX91" s="105"/>
      <c r="AY91" s="105"/>
      <c r="AZ91" s="105"/>
      <c r="BA91" s="106"/>
      <c r="BD91" s="54" t="str">
        <f>【結果】個人成績表!$A$1</f>
        <v>第8回　神奈滋対抗戦　　　(奈良；キングスポット)</v>
      </c>
      <c r="BE91" s="105"/>
      <c r="BF91" s="105"/>
      <c r="BG91" s="105"/>
      <c r="BH91" s="105"/>
      <c r="BI91" s="105"/>
      <c r="BJ91" s="106"/>
      <c r="BM91" s="54" t="str">
        <f>【結果】個人成績表!$A$1</f>
        <v>第8回　神奈滋対抗戦　　　(奈良；キングスポット)</v>
      </c>
      <c r="BN91" s="105"/>
      <c r="BO91" s="105"/>
      <c r="BP91" s="105"/>
      <c r="BQ91" s="105"/>
      <c r="BR91" s="105"/>
      <c r="BS91" s="106"/>
      <c r="BT91" t="s">
        <v>23</v>
      </c>
    </row>
    <row r="93" spans="2:72" s="107" customFormat="1" ht="15" customHeight="1">
      <c r="B93" s="53" t="s">
        <v>25</v>
      </c>
      <c r="C93" s="94">
        <f>【進行】結果入力表!B71</f>
        <v>65</v>
      </c>
      <c r="F93" s="53" t="s">
        <v>26</v>
      </c>
      <c r="G93" s="94"/>
      <c r="K93" s="53" t="s">
        <v>25</v>
      </c>
      <c r="L93" s="94">
        <f>【進行】結果入力表!B72</f>
        <v>66</v>
      </c>
      <c r="O93" s="53" t="s">
        <v>26</v>
      </c>
      <c r="P93" s="94"/>
      <c r="T93" s="53" t="s">
        <v>25</v>
      </c>
      <c r="U93" s="94">
        <f>【進行】結果入力表!B73</f>
        <v>67</v>
      </c>
      <c r="X93" s="53" t="s">
        <v>26</v>
      </c>
      <c r="Y93" s="94"/>
      <c r="AC93" s="53" t="s">
        <v>25</v>
      </c>
      <c r="AD93" s="94">
        <f>【進行】結果入力表!B74</f>
        <v>68</v>
      </c>
      <c r="AG93" s="53" t="s">
        <v>26</v>
      </c>
      <c r="AH93" s="94"/>
      <c r="AL93" s="53" t="s">
        <v>25</v>
      </c>
      <c r="AM93" s="94">
        <f>【進行】結果入力表!B75</f>
        <v>69</v>
      </c>
      <c r="AP93" s="53" t="s">
        <v>26</v>
      </c>
      <c r="AQ93" s="94"/>
      <c r="AU93" s="53" t="s">
        <v>25</v>
      </c>
      <c r="AV93" s="94">
        <f>【進行】結果入力表!B76</f>
        <v>70</v>
      </c>
      <c r="AY93" s="53" t="s">
        <v>26</v>
      </c>
      <c r="AZ93" s="94"/>
      <c r="BD93" s="53" t="s">
        <v>25</v>
      </c>
      <c r="BE93" s="94">
        <f>【進行】結果入力表!B77</f>
        <v>71</v>
      </c>
      <c r="BH93" s="53" t="s">
        <v>26</v>
      </c>
      <c r="BI93" s="94"/>
      <c r="BM93" s="53" t="s">
        <v>25</v>
      </c>
      <c r="BN93" s="94">
        <f>【進行】結果入力表!B78</f>
        <v>72</v>
      </c>
      <c r="BQ93" s="53" t="s">
        <v>26</v>
      </c>
      <c r="BR93" s="94"/>
    </row>
    <row r="95" spans="2:72" ht="31.5" customHeight="1">
      <c r="B95" s="108" t="e">
        <f>VLOOKUP(C93,【進行】結果入力表!$B$7:$J$78,2,FALSE)</f>
        <v>#N/A</v>
      </c>
      <c r="C95" s="109"/>
      <c r="D95" s="110"/>
      <c r="E95" s="111" t="s">
        <v>27</v>
      </c>
      <c r="F95" s="112" t="e">
        <f>VLOOKUP(C93,【進行】結果入力表!$B$7:$J$78,9,FALSE)</f>
        <v>#N/A</v>
      </c>
      <c r="G95" s="109"/>
      <c r="H95" s="113"/>
      <c r="K95" s="108" t="e">
        <f>VLOOKUP(L93,【進行】結果入力表!$B$7:$J$78,2,FALSE)</f>
        <v>#N/A</v>
      </c>
      <c r="L95" s="109"/>
      <c r="M95" s="110"/>
      <c r="N95" s="111" t="s">
        <v>27</v>
      </c>
      <c r="O95" s="112" t="e">
        <f>VLOOKUP(L93,【進行】結果入力表!$B$7:$J$78,9,FALSE)</f>
        <v>#N/A</v>
      </c>
      <c r="P95" s="109"/>
      <c r="Q95" s="113"/>
      <c r="T95" s="108" t="e">
        <f>VLOOKUP(U93,【進行】結果入力表!$B$7:$J$78,2,FALSE)</f>
        <v>#N/A</v>
      </c>
      <c r="U95" s="109"/>
      <c r="V95" s="110"/>
      <c r="W95" s="111" t="s">
        <v>27</v>
      </c>
      <c r="X95" s="112" t="e">
        <f>VLOOKUP(U93,【進行】結果入力表!$B$7:$J$78,9,FALSE)</f>
        <v>#N/A</v>
      </c>
      <c r="Y95" s="109"/>
      <c r="Z95" s="113"/>
      <c r="AC95" s="108" t="e">
        <f>VLOOKUP(AD93,【進行】結果入力表!$B$7:$J$78,2,FALSE)</f>
        <v>#N/A</v>
      </c>
      <c r="AD95" s="109"/>
      <c r="AE95" s="110"/>
      <c r="AF95" s="111" t="s">
        <v>27</v>
      </c>
      <c r="AG95" s="112" t="e">
        <f>VLOOKUP(AD93,【進行】結果入力表!$B$7:$J$78,9,FALSE)</f>
        <v>#N/A</v>
      </c>
      <c r="AH95" s="109"/>
      <c r="AI95" s="113"/>
      <c r="AL95" s="108" t="e">
        <f>VLOOKUP(AM93,【進行】結果入力表!$B$7:$J$78,2,FALSE)</f>
        <v>#N/A</v>
      </c>
      <c r="AM95" s="109"/>
      <c r="AN95" s="110"/>
      <c r="AO95" s="111" t="s">
        <v>27</v>
      </c>
      <c r="AP95" s="112" t="e">
        <f>VLOOKUP(AM93,【進行】結果入力表!$B$7:$J$78,9,FALSE)</f>
        <v>#N/A</v>
      </c>
      <c r="AQ95" s="109"/>
      <c r="AR95" s="113"/>
      <c r="AU95" s="108" t="e">
        <f>VLOOKUP(AV93,【進行】結果入力表!$B$7:$J$78,2,FALSE)</f>
        <v>#N/A</v>
      </c>
      <c r="AV95" s="109"/>
      <c r="AW95" s="110"/>
      <c r="AX95" s="111" t="s">
        <v>27</v>
      </c>
      <c r="AY95" s="112" t="e">
        <f>VLOOKUP(AV93,【進行】結果入力表!$B$7:$J$78,9,FALSE)</f>
        <v>#N/A</v>
      </c>
      <c r="AZ95" s="109"/>
      <c r="BA95" s="113"/>
      <c r="BD95" s="108" t="e">
        <f>VLOOKUP(BE93,【進行】結果入力表!$B$7:$J$78,2,FALSE)</f>
        <v>#N/A</v>
      </c>
      <c r="BE95" s="109"/>
      <c r="BF95" s="110"/>
      <c r="BG95" s="111" t="s">
        <v>27</v>
      </c>
      <c r="BH95" s="112" t="e">
        <f>VLOOKUP(BE93,【進行】結果入力表!$B$7:$J$78,9,FALSE)</f>
        <v>#N/A</v>
      </c>
      <c r="BI95" s="109"/>
      <c r="BJ95" s="113"/>
      <c r="BM95" s="108" t="e">
        <f>VLOOKUP(BN93,【進行】結果入力表!$B$7:$J$78,2,FALSE)</f>
        <v>#N/A</v>
      </c>
      <c r="BN95" s="109"/>
      <c r="BO95" s="110"/>
      <c r="BP95" s="111" t="s">
        <v>27</v>
      </c>
      <c r="BQ95" s="112" t="e">
        <f>VLOOKUP(BN93,【進行】結果入力表!$B$7:$J$78,9,FALSE)</f>
        <v>#N/A</v>
      </c>
      <c r="BR95" s="109"/>
      <c r="BS95" s="113"/>
    </row>
    <row r="96" spans="2:72" s="233" customFormat="1" ht="46.5" customHeight="1">
      <c r="B96" s="227" t="e">
        <f>VLOOKUP(C93,【進行】結果入力表!$B$7:$J$78,3,FALSE)</f>
        <v>#N/A</v>
      </c>
      <c r="C96" s="228"/>
      <c r="D96" s="229"/>
      <c r="E96" s="230" t="s">
        <v>28</v>
      </c>
      <c r="F96" s="231" t="e">
        <f>VLOOKUP(C93,【進行】結果入力表!$B$7:$J$78,8,FALSE)</f>
        <v>#N/A</v>
      </c>
      <c r="G96" s="228"/>
      <c r="H96" s="232"/>
      <c r="K96" s="227" t="e">
        <f>VLOOKUP(L93,【進行】結果入力表!$B$7:$J$78,3,FALSE)</f>
        <v>#N/A</v>
      </c>
      <c r="L96" s="228"/>
      <c r="M96" s="229"/>
      <c r="N96" s="230" t="s">
        <v>28</v>
      </c>
      <c r="O96" s="231" t="e">
        <f>VLOOKUP(L93,【進行】結果入力表!$B$7:$J$78,8,FALSE)</f>
        <v>#N/A</v>
      </c>
      <c r="P96" s="228"/>
      <c r="Q96" s="232"/>
      <c r="T96" s="227" t="e">
        <f>VLOOKUP(U93,【進行】結果入力表!$B$7:$J$78,3,FALSE)</f>
        <v>#N/A</v>
      </c>
      <c r="U96" s="228"/>
      <c r="V96" s="229"/>
      <c r="W96" s="230" t="s">
        <v>28</v>
      </c>
      <c r="X96" s="231" t="e">
        <f>VLOOKUP(U93,【進行】結果入力表!$B$7:$J$78,8,FALSE)</f>
        <v>#N/A</v>
      </c>
      <c r="Y96" s="228"/>
      <c r="Z96" s="232"/>
      <c r="AC96" s="227" t="e">
        <f>VLOOKUP(AD93,【進行】結果入力表!$B$7:$J$78,3,FALSE)</f>
        <v>#N/A</v>
      </c>
      <c r="AD96" s="228"/>
      <c r="AE96" s="229"/>
      <c r="AF96" s="230" t="s">
        <v>28</v>
      </c>
      <c r="AG96" s="231" t="e">
        <f>VLOOKUP(AD93,【進行】結果入力表!$B$7:$J$78,8,FALSE)</f>
        <v>#N/A</v>
      </c>
      <c r="AH96" s="228"/>
      <c r="AI96" s="232"/>
      <c r="AL96" s="227" t="e">
        <f>VLOOKUP(AM93,【進行】結果入力表!$B$7:$J$78,3,FALSE)</f>
        <v>#N/A</v>
      </c>
      <c r="AM96" s="228"/>
      <c r="AN96" s="229"/>
      <c r="AO96" s="230" t="s">
        <v>28</v>
      </c>
      <c r="AP96" s="231" t="e">
        <f>VLOOKUP(AM93,【進行】結果入力表!$B$7:$J$78,8,FALSE)</f>
        <v>#N/A</v>
      </c>
      <c r="AQ96" s="228"/>
      <c r="AR96" s="232"/>
      <c r="AU96" s="227" t="e">
        <f>VLOOKUP(AV93,【進行】結果入力表!$B$7:$J$78,3,FALSE)</f>
        <v>#N/A</v>
      </c>
      <c r="AV96" s="228"/>
      <c r="AW96" s="229"/>
      <c r="AX96" s="230" t="s">
        <v>28</v>
      </c>
      <c r="AY96" s="231" t="e">
        <f>VLOOKUP(AV93,【進行】結果入力表!$B$7:$J$78,8,FALSE)</f>
        <v>#N/A</v>
      </c>
      <c r="AZ96" s="228"/>
      <c r="BA96" s="232"/>
      <c r="BD96" s="227" t="e">
        <f>VLOOKUP(BE93,【進行】結果入力表!$B$7:$J$78,3,FALSE)</f>
        <v>#N/A</v>
      </c>
      <c r="BE96" s="228"/>
      <c r="BF96" s="229"/>
      <c r="BG96" s="230" t="s">
        <v>28</v>
      </c>
      <c r="BH96" s="231" t="e">
        <f>VLOOKUP(BE93,【進行】結果入力表!$B$7:$J$78,8,FALSE)</f>
        <v>#N/A</v>
      </c>
      <c r="BI96" s="228"/>
      <c r="BJ96" s="232"/>
      <c r="BM96" s="227" t="e">
        <f>VLOOKUP(BN93,【進行】結果入力表!$B$7:$J$78,3,FALSE)</f>
        <v>#N/A</v>
      </c>
      <c r="BN96" s="228"/>
      <c r="BO96" s="229"/>
      <c r="BP96" s="230" t="s">
        <v>28</v>
      </c>
      <c r="BQ96" s="231" t="e">
        <f>VLOOKUP(BN93,【進行】結果入力表!$B$7:$J$78,8,FALSE)</f>
        <v>#N/A</v>
      </c>
      <c r="BR96" s="228"/>
      <c r="BS96" s="232"/>
    </row>
    <row r="97" spans="2:71" ht="37.5" customHeight="1">
      <c r="B97" s="118"/>
      <c r="C97" s="49"/>
      <c r="D97" s="50"/>
      <c r="E97" s="115" t="s">
        <v>29</v>
      </c>
      <c r="F97" s="119"/>
      <c r="G97" s="49"/>
      <c r="H97" s="117"/>
      <c r="K97" s="118"/>
      <c r="L97" s="49"/>
      <c r="M97" s="50"/>
      <c r="N97" s="115" t="s">
        <v>29</v>
      </c>
      <c r="O97" s="119"/>
      <c r="P97" s="49"/>
      <c r="Q97" s="117"/>
      <c r="T97" s="118"/>
      <c r="U97" s="49"/>
      <c r="V97" s="50"/>
      <c r="W97" s="115" t="s">
        <v>29</v>
      </c>
      <c r="X97" s="119"/>
      <c r="Y97" s="49"/>
      <c r="Z97" s="117"/>
      <c r="AC97" s="118"/>
      <c r="AD97" s="49"/>
      <c r="AE97" s="50"/>
      <c r="AF97" s="115" t="s">
        <v>29</v>
      </c>
      <c r="AG97" s="119"/>
      <c r="AH97" s="49"/>
      <c r="AI97" s="117"/>
      <c r="AL97" s="118"/>
      <c r="AM97" s="49"/>
      <c r="AN97" s="50"/>
      <c r="AO97" s="115" t="s">
        <v>29</v>
      </c>
      <c r="AP97" s="119"/>
      <c r="AQ97" s="49"/>
      <c r="AR97" s="117"/>
      <c r="AU97" s="118"/>
      <c r="AV97" s="49"/>
      <c r="AW97" s="50"/>
      <c r="AX97" s="115" t="s">
        <v>29</v>
      </c>
      <c r="AY97" s="119"/>
      <c r="AZ97" s="49"/>
      <c r="BA97" s="117"/>
      <c r="BD97" s="118"/>
      <c r="BE97" s="49"/>
      <c r="BF97" s="50"/>
      <c r="BG97" s="115" t="s">
        <v>29</v>
      </c>
      <c r="BH97" s="119"/>
      <c r="BI97" s="49"/>
      <c r="BJ97" s="117"/>
      <c r="BM97" s="118"/>
      <c r="BN97" s="49"/>
      <c r="BO97" s="50"/>
      <c r="BP97" s="115" t="s">
        <v>29</v>
      </c>
      <c r="BQ97" s="119"/>
      <c r="BR97" s="49"/>
      <c r="BS97" s="117"/>
    </row>
    <row r="98" spans="2:71" ht="37.5" customHeight="1">
      <c r="B98" s="120"/>
      <c r="C98" s="121"/>
      <c r="D98" s="122"/>
      <c r="E98" s="123" t="s">
        <v>30</v>
      </c>
      <c r="F98" s="124"/>
      <c r="G98" s="121"/>
      <c r="H98" s="125"/>
      <c r="K98" s="120"/>
      <c r="L98" s="121"/>
      <c r="M98" s="122"/>
      <c r="N98" s="123" t="s">
        <v>30</v>
      </c>
      <c r="O98" s="124"/>
      <c r="P98" s="121"/>
      <c r="Q98" s="125"/>
      <c r="T98" s="120"/>
      <c r="U98" s="121"/>
      <c r="V98" s="122"/>
      <c r="W98" s="123" t="s">
        <v>30</v>
      </c>
      <c r="X98" s="124"/>
      <c r="Y98" s="121"/>
      <c r="Z98" s="125"/>
      <c r="AC98" s="120"/>
      <c r="AD98" s="121"/>
      <c r="AE98" s="122"/>
      <c r="AF98" s="123" t="s">
        <v>30</v>
      </c>
      <c r="AG98" s="124"/>
      <c r="AH98" s="121"/>
      <c r="AI98" s="125"/>
      <c r="AL98" s="120"/>
      <c r="AM98" s="121"/>
      <c r="AN98" s="122"/>
      <c r="AO98" s="123" t="s">
        <v>30</v>
      </c>
      <c r="AP98" s="124"/>
      <c r="AQ98" s="121"/>
      <c r="AR98" s="125"/>
      <c r="AU98" s="120"/>
      <c r="AV98" s="121"/>
      <c r="AW98" s="122"/>
      <c r="AX98" s="123" t="s">
        <v>30</v>
      </c>
      <c r="AY98" s="124"/>
      <c r="AZ98" s="121"/>
      <c r="BA98" s="125"/>
      <c r="BD98" s="120"/>
      <c r="BE98" s="121"/>
      <c r="BF98" s="122"/>
      <c r="BG98" s="123" t="s">
        <v>30</v>
      </c>
      <c r="BH98" s="124"/>
      <c r="BI98" s="121"/>
      <c r="BJ98" s="125"/>
      <c r="BM98" s="120"/>
      <c r="BN98" s="121"/>
      <c r="BO98" s="122"/>
      <c r="BP98" s="123" t="s">
        <v>30</v>
      </c>
      <c r="BQ98" s="124"/>
      <c r="BR98" s="121"/>
      <c r="BS98" s="125"/>
    </row>
    <row r="100" spans="2:71" ht="16.2">
      <c r="D100" s="53"/>
      <c r="E100" s="85" t="s">
        <v>32</v>
      </c>
      <c r="F100" s="235" t="e">
        <f>VLOOKUP(C93,【進行】結果入力表!$B$7:$M$78,11,FALSE)</f>
        <v>#N/A</v>
      </c>
      <c r="G100" s="87" t="e">
        <f>VLOOKUP(C93,【進行】結果入力表!$B$7:$M$78,12,FALSE)</f>
        <v>#N/A</v>
      </c>
      <c r="H100" s="53"/>
      <c r="M100" s="53"/>
      <c r="N100" s="85" t="s">
        <v>32</v>
      </c>
      <c r="O100" s="235" t="e">
        <f>VLOOKUP(L93,【進行】結果入力表!$B$7:$M$78,11,FALSE)</f>
        <v>#N/A</v>
      </c>
      <c r="P100" s="87" t="e">
        <f>VLOOKUP(L93,【進行】結果入力表!$B$7:$M$78,12,FALSE)</f>
        <v>#N/A</v>
      </c>
      <c r="Q100" s="53"/>
      <c r="V100" s="53"/>
      <c r="W100" s="85" t="s">
        <v>32</v>
      </c>
      <c r="X100" s="235" t="e">
        <f>VLOOKUP(U93,【進行】結果入力表!$B$7:$M$78,11,FALSE)</f>
        <v>#N/A</v>
      </c>
      <c r="Y100" s="87" t="e">
        <f>VLOOKUP(U93,【進行】結果入力表!$B$7:$M$78,12,FALSE)</f>
        <v>#N/A</v>
      </c>
      <c r="Z100" s="53"/>
      <c r="AE100" s="53"/>
      <c r="AF100" s="85" t="s">
        <v>32</v>
      </c>
      <c r="AG100" s="235" t="e">
        <f>VLOOKUP(AD93,【進行】結果入力表!$B$7:$M$78,11,FALSE)</f>
        <v>#N/A</v>
      </c>
      <c r="AH100" s="87" t="e">
        <f>VLOOKUP(AD93,【進行】結果入力表!$B$7:$M$78,12,FALSE)</f>
        <v>#N/A</v>
      </c>
      <c r="AI100" s="53"/>
      <c r="AN100" s="53"/>
      <c r="AO100" s="85" t="s">
        <v>32</v>
      </c>
      <c r="AP100" s="235" t="e">
        <f>VLOOKUP(AM93,【進行】結果入力表!$B$7:$M$78,11,FALSE)</f>
        <v>#N/A</v>
      </c>
      <c r="AQ100" s="87" t="e">
        <f>VLOOKUP(AM93,【進行】結果入力表!$B$7:$M$78,12,FALSE)</f>
        <v>#N/A</v>
      </c>
      <c r="AR100" s="53"/>
      <c r="AW100" s="53"/>
      <c r="AX100" s="85" t="s">
        <v>32</v>
      </c>
      <c r="AY100" s="235" t="e">
        <f>VLOOKUP(AV93,【進行】結果入力表!$B$7:$M$78,11,FALSE)</f>
        <v>#N/A</v>
      </c>
      <c r="AZ100" s="87" t="e">
        <f>VLOOKUP(AV93,【進行】結果入力表!$B$7:$M$78,12,FALSE)</f>
        <v>#N/A</v>
      </c>
      <c r="BA100" s="53"/>
      <c r="BF100" s="53"/>
      <c r="BG100" s="85" t="s">
        <v>32</v>
      </c>
      <c r="BH100" s="235" t="e">
        <f>VLOOKUP(BE93,【進行】結果入力表!$B$7:$M$78,11,FALSE)</f>
        <v>#N/A</v>
      </c>
      <c r="BI100" s="87" t="e">
        <f>VLOOKUP(BE93,【進行】結果入力表!$B$7:$M$78,12,FALSE)</f>
        <v>#N/A</v>
      </c>
      <c r="BJ100" s="53"/>
      <c r="BO100" s="53"/>
      <c r="BP100" s="85" t="s">
        <v>32</v>
      </c>
      <c r="BQ100" s="235" t="e">
        <f>VLOOKUP(BN93,【進行】結果入力表!$B$7:$M$78,11,FALSE)</f>
        <v>#N/A</v>
      </c>
      <c r="BR100" s="87" t="e">
        <f>VLOOKUP(BN93,【進行】結果入力表!$B$7:$M$78,12,FALSE)</f>
        <v>#N/A</v>
      </c>
      <c r="BS100" s="53"/>
    </row>
    <row r="105" spans="2:71" ht="15" customHeight="1">
      <c r="F105" t="s">
        <v>33</v>
      </c>
    </row>
  </sheetData>
  <phoneticPr fontId="49"/>
  <printOptions horizontalCentered="1" verticalCentered="1"/>
  <pageMargins left="0" right="0" top="0" bottom="0.39370078740157483" header="0" footer="0"/>
  <pageSetup paperSize="43" firstPageNumber="4294963191" fitToWidth="6" fitToHeight="6" pageOrder="overThenDown" orientation="landscape" horizontalDpi="4294967294" verticalDpi="4294967294" r:id="rId1"/>
  <headerFooter alignWithMargins="0"/>
  <rowBreaks count="8" manualBreakCount="8">
    <brk id="20" max="16383" man="1"/>
    <brk id="30" max="16383" man="1"/>
    <brk id="40" max="16383" man="1"/>
    <brk id="50" max="16383" man="1"/>
    <brk id="60" max="16383" man="1"/>
    <brk id="70" max="16383" man="1"/>
    <brk id="80" max="16383" man="1"/>
    <brk id="90" max="16383" man="1"/>
  </rowBreaks>
  <colBreaks count="6" manualBreakCount="6">
    <brk id="9" max="1048575" man="1"/>
    <brk id="18" max="1048575" man="1"/>
    <brk id="27" max="1048575" man="1"/>
    <brk id="36" max="1048575" man="1"/>
    <brk id="45" max="1048575" man="1"/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S42"/>
  <sheetViews>
    <sheetView topLeftCell="A13" zoomScale="115" zoomScaleNormal="115" workbookViewId="0">
      <selection activeCell="BR18" sqref="A15:BR24"/>
    </sheetView>
  </sheetViews>
  <sheetFormatPr defaultColWidth="3.6640625" defaultRowHeight="13.2"/>
  <cols>
    <col min="1" max="1" width="2.77734375" style="8" customWidth="1"/>
    <col min="2" max="4" width="2.6640625" style="171" customWidth="1"/>
    <col min="5" max="5" width="4.6640625" style="8" hidden="1" customWidth="1"/>
    <col min="6" max="7" width="2.77734375" style="8" customWidth="1"/>
    <col min="8" max="9" width="3.109375" style="56" customWidth="1"/>
    <col min="10" max="11" width="2.77734375" style="72" hidden="1" customWidth="1"/>
    <col min="12" max="13" width="2.77734375" style="8" customWidth="1"/>
    <col min="14" max="14" width="3.44140625" style="8" customWidth="1"/>
    <col min="15" max="15" width="2.77734375" style="8" customWidth="1"/>
    <col min="16" max="17" width="2.77734375" style="72" hidden="1" customWidth="1"/>
    <col min="18" max="19" width="3.109375" style="56" customWidth="1"/>
    <col min="20" max="21" width="2.77734375" style="72" hidden="1" customWidth="1"/>
    <col min="22" max="25" width="2.77734375" style="8" customWidth="1"/>
    <col min="26" max="27" width="2.77734375" style="8" hidden="1" customWidth="1"/>
    <col min="28" max="29" width="3.109375" style="56" customWidth="1"/>
    <col min="30" max="31" width="2.77734375" style="72" hidden="1" customWidth="1"/>
    <col min="32" max="35" width="2.77734375" style="8" customWidth="1"/>
    <col min="36" max="37" width="2.77734375" style="8" hidden="1" customWidth="1"/>
    <col min="38" max="39" width="3.109375" style="56" customWidth="1"/>
    <col min="40" max="41" width="2.77734375" style="72" hidden="1" customWidth="1"/>
    <col min="42" max="45" width="2.77734375" style="8" customWidth="1"/>
    <col min="46" max="47" width="2.77734375" style="8" hidden="1" customWidth="1"/>
    <col min="48" max="49" width="3.109375" style="56" customWidth="1"/>
    <col min="50" max="51" width="2.77734375" style="72" hidden="1" customWidth="1"/>
    <col min="52" max="55" width="2.77734375" style="8" customWidth="1"/>
    <col min="56" max="57" width="2.77734375" style="8" hidden="1" customWidth="1"/>
    <col min="58" max="59" width="3.109375" style="8" customWidth="1"/>
    <col min="60" max="61" width="2.77734375" style="72" hidden="1" customWidth="1"/>
    <col min="62" max="63" width="2.77734375" style="8" customWidth="1"/>
    <col min="64" max="64" width="3.44140625" style="8" customWidth="1"/>
    <col min="65" max="70" width="4" style="8" customWidth="1"/>
    <col min="71" max="74" width="4.109375" style="8" customWidth="1"/>
    <col min="75" max="75" width="9.77734375" style="8" customWidth="1"/>
    <col min="76" max="78" width="6" style="8" customWidth="1"/>
    <col min="79" max="79" width="5.77734375" style="8" bestFit="1" customWidth="1"/>
    <col min="80" max="80" width="6" style="8" customWidth="1"/>
    <col min="81" max="82" width="4.109375" style="8" customWidth="1"/>
    <col min="83" max="83" width="6" style="8" customWidth="1"/>
    <col min="84" max="84" width="9.44140625" style="8" bestFit="1" customWidth="1"/>
    <col min="85" max="86" width="3.6640625" style="8" customWidth="1"/>
    <col min="87" max="87" width="7.21875" style="8" customWidth="1"/>
    <col min="88" max="88" width="7.109375" style="8" customWidth="1"/>
    <col min="89" max="89" width="5.109375" style="8" customWidth="1"/>
    <col min="90" max="90" width="6.33203125" style="8" customWidth="1"/>
    <col min="91" max="100" width="5.44140625" style="8" customWidth="1"/>
    <col min="101" max="16384" width="3.6640625" style="8"/>
  </cols>
  <sheetData>
    <row r="1" spans="1:97" ht="16.2">
      <c r="A1" s="11" t="str">
        <f>【準備】登録!D2&amp;【準備】登録!E2&amp;【準備】登録!F2&amp;"　"&amp;【準備】登録!G2&amp;【準備】登録!I2&amp;"　　　"&amp;"("&amp;【準備】登録!K6&amp;"；"&amp;【準備】登録!D6&amp;")"</f>
        <v>第8回　神奈滋対抗戦　　　(奈良；キングスポット)</v>
      </c>
      <c r="B1" s="164"/>
      <c r="C1" s="164"/>
      <c r="D1" s="164"/>
      <c r="E1" s="12"/>
      <c r="F1" s="11"/>
      <c r="G1" s="11"/>
      <c r="H1" s="11"/>
      <c r="I1" s="11"/>
      <c r="J1" s="71"/>
      <c r="K1" s="71"/>
      <c r="L1" s="11"/>
      <c r="M1" s="11"/>
      <c r="N1" s="11"/>
      <c r="O1" s="11"/>
      <c r="P1" s="71"/>
      <c r="Q1" s="71"/>
      <c r="R1" s="11"/>
      <c r="S1" s="11"/>
      <c r="T1" s="71"/>
      <c r="U1" s="71"/>
      <c r="V1" s="11"/>
      <c r="W1" s="11"/>
      <c r="X1" s="11"/>
      <c r="Y1" s="11"/>
      <c r="Z1" s="11"/>
      <c r="AA1" s="11"/>
      <c r="AB1" s="11"/>
      <c r="AC1" s="11"/>
      <c r="AD1" s="71"/>
      <c r="AE1" s="71"/>
      <c r="AF1" s="11"/>
      <c r="AG1" s="11"/>
      <c r="AH1" s="11"/>
      <c r="AI1" s="11"/>
      <c r="AJ1" s="11"/>
      <c r="AK1" s="11"/>
      <c r="AL1" s="11"/>
      <c r="AM1" s="11"/>
      <c r="AN1" s="71"/>
      <c r="AO1" s="71"/>
      <c r="AP1" s="11"/>
      <c r="AQ1" s="11"/>
      <c r="AR1" s="11"/>
      <c r="AS1" s="11"/>
      <c r="AT1" s="11"/>
      <c r="AU1" s="11"/>
      <c r="AV1" s="11"/>
      <c r="AW1" s="11"/>
      <c r="AX1" s="71"/>
      <c r="AY1" s="71"/>
      <c r="AZ1" s="11"/>
      <c r="BA1" s="11"/>
      <c r="BB1" s="11"/>
      <c r="BC1" s="11"/>
      <c r="BD1" s="11"/>
      <c r="BE1" s="11"/>
      <c r="BF1" s="11"/>
      <c r="BG1" s="11"/>
      <c r="BH1" s="71"/>
      <c r="BI1" s="71"/>
      <c r="BJ1" s="11"/>
      <c r="BK1" s="11"/>
      <c r="BL1" s="11"/>
      <c r="BM1" s="57"/>
      <c r="BN1" s="57"/>
      <c r="BO1" s="57"/>
      <c r="BP1" s="57"/>
      <c r="BQ1" s="57"/>
      <c r="BR1" s="57"/>
    </row>
    <row r="2" spans="1:97" ht="16.2">
      <c r="A2" s="10"/>
      <c r="B2" s="165"/>
      <c r="C2" s="165"/>
      <c r="D2" s="165"/>
      <c r="E2" s="14"/>
      <c r="F2" s="14"/>
      <c r="G2" s="14"/>
      <c r="H2" s="14"/>
      <c r="I2" s="14"/>
      <c r="J2" s="101"/>
      <c r="K2" s="101"/>
      <c r="L2" s="14"/>
      <c r="M2" s="14"/>
      <c r="N2" s="14"/>
      <c r="O2" s="14"/>
      <c r="P2" s="101"/>
      <c r="Q2" s="101"/>
      <c r="R2" s="14"/>
      <c r="S2" s="14"/>
      <c r="T2" s="101"/>
      <c r="U2" s="101"/>
      <c r="V2" s="14"/>
      <c r="W2" s="14"/>
      <c r="X2" s="14"/>
      <c r="Y2" s="14"/>
      <c r="Z2" s="14"/>
      <c r="AA2" s="14"/>
      <c r="AB2" s="14"/>
      <c r="AC2" s="14"/>
      <c r="AD2" s="101"/>
      <c r="AE2" s="101"/>
      <c r="AF2" s="14"/>
      <c r="AG2" s="14"/>
      <c r="AH2" s="14"/>
      <c r="AI2" s="14"/>
      <c r="AJ2" s="14"/>
      <c r="AK2" s="14"/>
      <c r="AL2" s="14"/>
      <c r="AM2" s="14"/>
      <c r="AN2" s="101"/>
      <c r="AO2" s="101"/>
      <c r="AP2" s="14"/>
      <c r="AQ2" s="14"/>
      <c r="AR2" s="14"/>
      <c r="AS2" s="14"/>
      <c r="AT2" s="14"/>
      <c r="AU2" s="14"/>
      <c r="AV2" s="14"/>
      <c r="AW2" s="14"/>
      <c r="AX2" s="101"/>
      <c r="AY2" s="101"/>
      <c r="AZ2" s="14"/>
      <c r="BA2" s="14"/>
      <c r="BB2" s="14"/>
      <c r="BC2" s="14"/>
      <c r="BD2" s="14"/>
      <c r="BE2" s="14"/>
      <c r="BF2" s="14"/>
      <c r="BM2" s="400">
        <f>【準備】登録!D4</f>
        <v>44493</v>
      </c>
      <c r="BN2" s="400"/>
      <c r="BO2" s="400"/>
      <c r="BP2" s="400"/>
      <c r="BQ2" s="400"/>
      <c r="BR2" s="400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</row>
    <row r="3" spans="1:97" ht="7.5" customHeight="1">
      <c r="B3" s="166"/>
      <c r="C3" s="166"/>
      <c r="D3" s="166"/>
      <c r="E3" s="15"/>
      <c r="F3" s="15"/>
      <c r="G3" s="15"/>
      <c r="H3" s="17"/>
      <c r="I3" s="17"/>
      <c r="J3" s="102"/>
      <c r="K3" s="102"/>
      <c r="L3" s="15"/>
      <c r="M3" s="15"/>
      <c r="N3" s="15"/>
      <c r="O3" s="15"/>
      <c r="P3" s="102"/>
      <c r="Q3" s="102"/>
      <c r="R3" s="17"/>
      <c r="S3" s="17"/>
      <c r="T3" s="102"/>
      <c r="U3" s="102"/>
      <c r="V3" s="15"/>
      <c r="W3" s="15"/>
      <c r="X3" s="15"/>
      <c r="Y3" s="15"/>
      <c r="Z3" s="15"/>
      <c r="AA3" s="15"/>
      <c r="AB3" s="17"/>
      <c r="AC3" s="17"/>
      <c r="AD3" s="102"/>
      <c r="AE3" s="102"/>
      <c r="AF3" s="15"/>
      <c r="AG3" s="15"/>
      <c r="AH3" s="15"/>
      <c r="AI3" s="15"/>
      <c r="AJ3" s="15"/>
      <c r="AK3" s="15"/>
      <c r="AL3" s="17"/>
      <c r="AM3" s="17"/>
      <c r="AN3" s="102"/>
      <c r="AO3" s="102"/>
      <c r="AP3" s="15"/>
      <c r="AQ3" s="15"/>
      <c r="AR3" s="15"/>
      <c r="AS3" s="15"/>
      <c r="AT3" s="15"/>
      <c r="AU3" s="15"/>
      <c r="AV3" s="17"/>
      <c r="AW3" s="17"/>
      <c r="AX3" s="102"/>
      <c r="AY3" s="102"/>
      <c r="AZ3" s="15"/>
      <c r="BA3" s="15"/>
      <c r="BB3" s="15"/>
      <c r="BC3" s="15"/>
      <c r="BD3" s="15"/>
      <c r="BE3" s="15"/>
      <c r="BF3" s="15"/>
      <c r="BG3" s="18"/>
      <c r="BH3" s="103"/>
      <c r="BI3" s="103"/>
      <c r="BJ3" s="18"/>
      <c r="BK3" s="18"/>
      <c r="BL3" s="18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</row>
    <row r="4" spans="1:97" ht="17.25" customHeight="1">
      <c r="A4" s="58"/>
      <c r="B4" s="167"/>
      <c r="C4" s="167"/>
      <c r="D4" s="168"/>
      <c r="E4" s="95"/>
      <c r="F4" s="309"/>
      <c r="G4" s="310"/>
      <c r="H4" s="310"/>
      <c r="I4" s="310">
        <v>1</v>
      </c>
      <c r="J4" s="310"/>
      <c r="K4" s="310"/>
      <c r="L4" s="310" t="s">
        <v>336</v>
      </c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1"/>
      <c r="X4" s="309"/>
      <c r="Y4" s="310"/>
      <c r="Z4" s="310"/>
      <c r="AA4" s="310">
        <v>1</v>
      </c>
      <c r="AB4" s="310"/>
      <c r="AC4" s="310">
        <v>2</v>
      </c>
      <c r="AD4" s="310"/>
      <c r="AE4" s="310"/>
      <c r="AF4" s="310" t="s">
        <v>337</v>
      </c>
      <c r="AG4" s="310"/>
      <c r="AH4" s="310"/>
      <c r="AI4" s="310"/>
      <c r="AJ4" s="310"/>
      <c r="AK4" s="310"/>
      <c r="AL4" s="310"/>
      <c r="AM4" s="310"/>
      <c r="AN4" s="310"/>
      <c r="AO4" s="311"/>
      <c r="AP4" s="310"/>
      <c r="AQ4" s="311"/>
      <c r="AR4" s="309"/>
      <c r="AS4" s="310"/>
      <c r="AT4" s="310"/>
      <c r="AU4" s="310"/>
      <c r="AV4" s="310"/>
      <c r="AW4" s="310">
        <v>3</v>
      </c>
      <c r="AX4" s="310"/>
      <c r="AY4" s="310"/>
      <c r="AZ4" s="310" t="s">
        <v>338</v>
      </c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1"/>
      <c r="BL4" s="35" t="s">
        <v>39</v>
      </c>
      <c r="BM4" s="353" t="s">
        <v>40</v>
      </c>
      <c r="BN4" s="354"/>
      <c r="BO4" s="354"/>
      <c r="BP4" s="354"/>
      <c r="BQ4" s="354"/>
      <c r="BR4" s="355"/>
      <c r="BS4" s="15"/>
      <c r="BT4" s="254" t="s">
        <v>30</v>
      </c>
      <c r="BU4" s="254"/>
      <c r="BV4" s="254"/>
      <c r="BW4" s="254" t="s">
        <v>41</v>
      </c>
      <c r="BX4" s="254" t="s">
        <v>42</v>
      </c>
      <c r="BY4" s="254" t="s">
        <v>28</v>
      </c>
      <c r="BZ4" s="254" t="s">
        <v>43</v>
      </c>
      <c r="CA4" s="254" t="s">
        <v>44</v>
      </c>
      <c r="CB4" s="254"/>
      <c r="CC4" s="36" t="s">
        <v>45</v>
      </c>
      <c r="CD4" s="36"/>
      <c r="CE4" s="36"/>
      <c r="CF4" s="36"/>
      <c r="CG4" s="15"/>
      <c r="CH4" s="15"/>
    </row>
    <row r="5" spans="1:97" ht="17.25" customHeight="1">
      <c r="A5" s="381" t="str">
        <f>IF(【準備】登録!B11="","",【準備】登録!B11)</f>
        <v>HRC</v>
      </c>
      <c r="B5" s="384" t="s">
        <v>12</v>
      </c>
      <c r="C5" s="385"/>
      <c r="D5" s="386"/>
      <c r="E5" s="96" t="s">
        <v>46</v>
      </c>
      <c r="F5" s="396" t="str">
        <f>A15</f>
        <v>SBC</v>
      </c>
      <c r="G5" s="362"/>
      <c r="H5" s="20" t="s">
        <v>21</v>
      </c>
      <c r="I5" s="20" t="s">
        <v>47</v>
      </c>
      <c r="J5" s="370" t="s">
        <v>48</v>
      </c>
      <c r="K5" s="371"/>
      <c r="L5" s="361" t="s">
        <v>48</v>
      </c>
      <c r="M5" s="362"/>
      <c r="N5" s="396" t="str">
        <f>A25</f>
        <v>NRC</v>
      </c>
      <c r="O5" s="362"/>
      <c r="P5" s="150" t="s">
        <v>21</v>
      </c>
      <c r="Q5" s="150" t="s">
        <v>47</v>
      </c>
      <c r="R5" s="20" t="s">
        <v>21</v>
      </c>
      <c r="S5" s="20" t="s">
        <v>47</v>
      </c>
      <c r="T5" s="370" t="s">
        <v>48</v>
      </c>
      <c r="U5" s="371"/>
      <c r="V5" s="361" t="s">
        <v>48</v>
      </c>
      <c r="W5" s="362"/>
      <c r="X5" s="396" t="str">
        <f>F5</f>
        <v>SBC</v>
      </c>
      <c r="Y5" s="362"/>
      <c r="Z5" s="150" t="s">
        <v>21</v>
      </c>
      <c r="AA5" s="150" t="s">
        <v>47</v>
      </c>
      <c r="AB5" s="20" t="s">
        <v>21</v>
      </c>
      <c r="AC5" s="20" t="s">
        <v>47</v>
      </c>
      <c r="AD5" s="370" t="s">
        <v>48</v>
      </c>
      <c r="AE5" s="371"/>
      <c r="AF5" s="361" t="s">
        <v>48</v>
      </c>
      <c r="AG5" s="362"/>
      <c r="AH5" s="396" t="str">
        <f>N5</f>
        <v>NRC</v>
      </c>
      <c r="AI5" s="362"/>
      <c r="AJ5" s="150" t="s">
        <v>21</v>
      </c>
      <c r="AK5" s="150" t="s">
        <v>47</v>
      </c>
      <c r="AL5" s="20" t="s">
        <v>21</v>
      </c>
      <c r="AM5" s="20" t="s">
        <v>47</v>
      </c>
      <c r="AN5" s="370" t="s">
        <v>48</v>
      </c>
      <c r="AO5" s="371"/>
      <c r="AP5" s="361" t="s">
        <v>48</v>
      </c>
      <c r="AQ5" s="362"/>
      <c r="AR5" s="396" t="str">
        <f>F5</f>
        <v>SBC</v>
      </c>
      <c r="AS5" s="362"/>
      <c r="AT5" s="150" t="s">
        <v>21</v>
      </c>
      <c r="AU5" s="150" t="s">
        <v>47</v>
      </c>
      <c r="AV5" s="20" t="s">
        <v>21</v>
      </c>
      <c r="AW5" s="20" t="s">
        <v>47</v>
      </c>
      <c r="AX5" s="370" t="s">
        <v>48</v>
      </c>
      <c r="AY5" s="371"/>
      <c r="AZ5" s="361" t="s">
        <v>48</v>
      </c>
      <c r="BA5" s="362"/>
      <c r="BB5" s="396" t="str">
        <f>N5</f>
        <v>NRC</v>
      </c>
      <c r="BC5" s="362"/>
      <c r="BD5" s="150" t="s">
        <v>21</v>
      </c>
      <c r="BE5" s="150" t="s">
        <v>47</v>
      </c>
      <c r="BF5" s="20" t="s">
        <v>21</v>
      </c>
      <c r="BG5" s="20" t="s">
        <v>47</v>
      </c>
      <c r="BH5" s="370" t="s">
        <v>48</v>
      </c>
      <c r="BI5" s="371"/>
      <c r="BJ5" s="361" t="s">
        <v>48</v>
      </c>
      <c r="BK5" s="362"/>
      <c r="BL5" s="19" t="s">
        <v>49</v>
      </c>
      <c r="BM5" s="32" t="s">
        <v>50</v>
      </c>
      <c r="BN5" s="33" t="s">
        <v>51</v>
      </c>
      <c r="BO5" s="33" t="s">
        <v>52</v>
      </c>
      <c r="BP5" s="33" t="s">
        <v>53</v>
      </c>
      <c r="BQ5" s="33" t="s">
        <v>54</v>
      </c>
      <c r="BR5" s="34" t="s">
        <v>55</v>
      </c>
      <c r="BS5" s="15"/>
      <c r="BT5" s="255" t="s">
        <v>56</v>
      </c>
      <c r="BU5" s="256" t="s">
        <v>57</v>
      </c>
      <c r="BV5" s="256" t="s">
        <v>58</v>
      </c>
      <c r="BW5" s="256"/>
      <c r="BX5" s="254"/>
      <c r="BY5" s="254"/>
      <c r="BZ5" s="254"/>
      <c r="CA5" s="256"/>
      <c r="CB5" s="254"/>
      <c r="CC5" s="60" t="s">
        <v>21</v>
      </c>
      <c r="CD5" s="61" t="s">
        <v>47</v>
      </c>
      <c r="CE5" s="61" t="s">
        <v>48</v>
      </c>
      <c r="CF5" s="62" t="s">
        <v>59</v>
      </c>
      <c r="CG5" s="15"/>
      <c r="CH5" s="15"/>
      <c r="CI5" s="160" t="s">
        <v>60</v>
      </c>
      <c r="CM5" s="8" t="s">
        <v>74</v>
      </c>
    </row>
    <row r="6" spans="1:97" ht="15" customHeight="1">
      <c r="A6" s="382"/>
      <c r="B6" s="387" t="str">
        <f>IF(【準備】登録!AK21=0,"",【準備】登録!AK21)</f>
        <v>宮本一</v>
      </c>
      <c r="C6" s="388"/>
      <c r="D6" s="389"/>
      <c r="E6" s="97">
        <f>【準備】登録!F11</f>
        <v>180</v>
      </c>
      <c r="F6" s="358">
        <f>IF(ISERROR(VLOOKUP($B6&amp;$I$4&amp;F$5,【進行】結果入力表!$Q$7:$V$150,2,FALSE)),"",VLOOKUP($B6&amp;$I$4&amp;F$5,【進行】結果入力表!$Q$7:$V$150,2,FALSE))</f>
        <v>49</v>
      </c>
      <c r="G6" s="352"/>
      <c r="H6" s="22">
        <f t="shared" ref="H6:H13" si="0">IF(F6="","",IF(F6="w",1,0))</f>
        <v>0</v>
      </c>
      <c r="I6" s="22">
        <f t="shared" ref="I6:I13" si="1">IF(F6="","",IF(F6="w",0,1))</f>
        <v>1</v>
      </c>
      <c r="J6" s="356">
        <f>IF(F6="","",IF(F6="w",E6,F6))</f>
        <v>49</v>
      </c>
      <c r="K6" s="357"/>
      <c r="L6" s="351">
        <f t="shared" ref="L6:L13" si="2">IF($F6="","",J6/$E6*180)</f>
        <v>48.999999999999993</v>
      </c>
      <c r="M6" s="367"/>
      <c r="N6" s="358">
        <f>IF(ISERROR(VLOOKUP($B6&amp;$I$4&amp;N$5,【進行】結果入力表!$Q$7:$V$150,2,FALSE)),"",VLOOKUP($B6&amp;$I$4&amp;N$5,【進行】結果入力表!$Q$7:$V$150,2,FALSE))</f>
        <v>111</v>
      </c>
      <c r="O6" s="352"/>
      <c r="P6" s="151">
        <f t="shared" ref="P6:P13" si="3">IF(N6="","",IF(N6="w",1,0))</f>
        <v>0</v>
      </c>
      <c r="Q6" s="151">
        <f t="shared" ref="Q6:Q13" si="4">IF(N6="","",IF(N6="w",0,1))</f>
        <v>1</v>
      </c>
      <c r="R6" s="22">
        <f t="shared" ref="R6:R13" si="5">IF(N6="","",SUM(H6,P6))</f>
        <v>0</v>
      </c>
      <c r="S6" s="22">
        <f t="shared" ref="S6:S13" si="6">IF(N6="","",SUM(I6,Q6))</f>
        <v>2</v>
      </c>
      <c r="T6" s="356">
        <f>IF(N6="","",IF(N6="w",E6+J6,N6+J6))</f>
        <v>160</v>
      </c>
      <c r="U6" s="357"/>
      <c r="V6" s="351">
        <f>IF($N6="","",T6/$E6*180)</f>
        <v>160</v>
      </c>
      <c r="W6" s="367"/>
      <c r="X6" s="358" t="str">
        <f>IF(ISERROR(VLOOKUP($B6&amp;$AC$4&amp;X$5,【進行】結果入力表!$Q$7:$V$150,2,FALSE)),"",VLOOKUP($B6&amp;$AC$4&amp;X$5,【進行】結果入力表!$Q$7:$V$150,2,FALSE))</f>
        <v>w</v>
      </c>
      <c r="Y6" s="352"/>
      <c r="Z6" s="151">
        <f t="shared" ref="Z6:Z13" si="7">IF(X6="","",IF(X6="w",1,0))</f>
        <v>1</v>
      </c>
      <c r="AA6" s="151">
        <f t="shared" ref="AA6:AA13" si="8">IF(X6="","",IF(X6="w",0,1))</f>
        <v>0</v>
      </c>
      <c r="AB6" s="22">
        <f t="shared" ref="AB6:AB13" si="9">IF(X6="","",SUM(R6,Z6))</f>
        <v>1</v>
      </c>
      <c r="AC6" s="22">
        <f t="shared" ref="AC6:AC13" si="10">IF(X6="","",SUM(S6,AA6))</f>
        <v>2</v>
      </c>
      <c r="AD6" s="356">
        <f t="shared" ref="AD6:AD13" si="11">IF(X6="","",IF(X6="w",T6+E6,X6+T6))</f>
        <v>340</v>
      </c>
      <c r="AE6" s="357"/>
      <c r="AF6" s="351">
        <f t="shared" ref="AF6:AF13" si="12">IF($X6="","",AD6/$E6*180)</f>
        <v>340</v>
      </c>
      <c r="AG6" s="367"/>
      <c r="AH6" s="358">
        <f>IF(ISERROR(VLOOKUP($B6&amp;$AC$4&amp;AH$5,【進行】結果入力表!$Q$7:$V$150,2,FALSE)),"",VLOOKUP($B6&amp;$AC$4&amp;AH$5,【進行】結果入力表!$Q$7:$V$150,2,FALSE))</f>
        <v>148</v>
      </c>
      <c r="AI6" s="352"/>
      <c r="AJ6" s="151">
        <f t="shared" ref="AJ6:AJ13" si="13">IF(AH6="","",IF(AH6="w",1,0))</f>
        <v>0</v>
      </c>
      <c r="AK6" s="151">
        <f t="shared" ref="AK6:AK13" si="14">IF(AH6="","",IF(AH6="w",0,1))</f>
        <v>1</v>
      </c>
      <c r="AL6" s="22">
        <f t="shared" ref="AL6:AL13" si="15">IF(AH6="","",SUM(AB6,AJ6))</f>
        <v>1</v>
      </c>
      <c r="AM6" s="22">
        <f t="shared" ref="AM6:AM13" si="16">IF(AH6="","",SUM(AC6,AK6))</f>
        <v>3</v>
      </c>
      <c r="AN6" s="356">
        <f t="shared" ref="AN6:AN13" si="17">IF(AH6="","",IF(AH6="w",AD6+E6,AH6+AD6))</f>
        <v>488</v>
      </c>
      <c r="AO6" s="357"/>
      <c r="AP6" s="351">
        <f t="shared" ref="AP6:AP13" si="18">IF($AH6="","",AN6/$E6*180)</f>
        <v>488</v>
      </c>
      <c r="AQ6" s="367"/>
      <c r="AR6" s="358" t="str">
        <f>IF(ISERROR(VLOOKUP($B6&amp;$AW$4&amp;AR$5,【進行】結果入力表!$Q$7:$V$150,2,FALSE)),"",VLOOKUP($B6&amp;$AW$4&amp;AR$5,【進行】結果入力表!$Q$7:$V$150,2,FALSE))</f>
        <v>w</v>
      </c>
      <c r="AS6" s="352"/>
      <c r="AT6" s="151">
        <f t="shared" ref="AT6:AT13" si="19">IF(AR6="","",IF(AR6="w",1,0))</f>
        <v>1</v>
      </c>
      <c r="AU6" s="151">
        <f t="shared" ref="AU6:AU13" si="20">IF(AR6="","",IF(AR6="w",0,1))</f>
        <v>0</v>
      </c>
      <c r="AV6" s="22">
        <f t="shared" ref="AV6:AV13" si="21">IF(AR6="","",IF(AR6="w",AL6+1,AL6))</f>
        <v>2</v>
      </c>
      <c r="AW6" s="22">
        <f t="shared" ref="AW6:AW13" si="22">IF(AR6="","",IF(AR6="w",AM6,AM6+1))</f>
        <v>3</v>
      </c>
      <c r="AX6" s="356">
        <f t="shared" ref="AX6:AX13" si="23">IF(AR6="","",IF(AR6="w",AN6+E6,AR6+AN6))</f>
        <v>668</v>
      </c>
      <c r="AY6" s="357"/>
      <c r="AZ6" s="351">
        <f t="shared" ref="AZ6:AZ13" si="24">IF($AR6="","",AX6/$E6*180)</f>
        <v>668</v>
      </c>
      <c r="BA6" s="399"/>
      <c r="BB6" s="358" t="str">
        <f>IF(ISERROR(VLOOKUP($B6&amp;$AW$4&amp;BB$5,【進行】結果入力表!$Q$7:$V$150,2,FALSE)),"",VLOOKUP($B6&amp;$AW$4&amp;BB$5,【進行】結果入力表!$Q$7:$V$150,2,FALSE))</f>
        <v>w</v>
      </c>
      <c r="BC6" s="352"/>
      <c r="BD6" s="151">
        <f t="shared" ref="BD6:BD13" si="25">IF(BB6="","",IF(BB6="w",1,0))</f>
        <v>1</v>
      </c>
      <c r="BE6" s="151">
        <f t="shared" ref="BE6:BE13" si="26">IF(BB6="","",IF(BB6="w",0,1))</f>
        <v>0</v>
      </c>
      <c r="BF6" s="22">
        <f t="shared" ref="BF6:BF13" si="27">IF(BB6="","",IF(BB6="w",AV6+1,AV6))</f>
        <v>3</v>
      </c>
      <c r="BG6" s="22">
        <f t="shared" ref="BG6:BG13" si="28">IF(BB6="","",IF(BB6="w",AW6,AW6+1))</f>
        <v>3</v>
      </c>
      <c r="BH6" s="356">
        <f t="shared" ref="BH6:BH13" si="29">IF(BB6="","",IF(BB6="w",AX6+E6,BB6+AX6))</f>
        <v>848</v>
      </c>
      <c r="BI6" s="357"/>
      <c r="BJ6" s="351">
        <f t="shared" ref="BJ6:BJ13" si="30">IF($BB6="","",BH6/$E6*180)</f>
        <v>848</v>
      </c>
      <c r="BK6" s="352"/>
      <c r="BL6" s="89">
        <f>IF(SUM(H6:I6)=0,"",IF(B$13="",RANK($CF$6:$CF$13,$CF$6:$CF$13,0),RANK($CF$6:$CF$13,$CF$6:$CF$13,0)))</f>
        <v>4</v>
      </c>
      <c r="BM6" s="245" t="str">
        <f>IF(ISERROR(VLOOKUP($B6&amp;$I$4&amp;F$5,【進行】結果入力表!$Q$7:$V$150,3,FALSE)),"",VLOOKUP($B6&amp;$I$4&amp;F$5,【進行】結果入力表!$Q$7:$V$150,3,FALSE))</f>
        <v/>
      </c>
      <c r="BN6" s="246" t="str">
        <f>IF(ISERROR(VLOOKUP($B6&amp;$I$4&amp;N$5,【進行】結果入力表!$Q$7:$V$150,3,FALSE)),"",VLOOKUP($B6&amp;$I$4&amp;N$5,【進行】結果入力表!$Q$7:$V$150,3,FALSE))</f>
        <v/>
      </c>
      <c r="BO6" s="246" t="str">
        <f>IF(ISERROR(VLOOKUP($B6&amp;$AC$4&amp;X$5,【進行】結果入力表!$Q$7:$V$150,3,FALSE)),"",VLOOKUP($B6&amp;$AC$4&amp;X$5,【進行】結果入力表!$Q$7:$V$150,3,FALSE))</f>
        <v/>
      </c>
      <c r="BP6" s="246" t="str">
        <f>IF(ISERROR(VLOOKUP($B6&amp;$AC$4&amp;AH$5,【進行】結果入力表!$Q$7:$V$150,3,FALSE)),"",VLOOKUP($B6&amp;$AC$4&amp;AH$5,【進行】結果入力表!$Q$7:$V$150,3,FALSE))</f>
        <v/>
      </c>
      <c r="BQ6" s="246" t="str">
        <f>IF(ISERROR(VLOOKUP($B6&amp;$AW$4&amp;AR$5,【進行】結果入力表!$Q$7:$V$150,3,FALSE)),"",VLOOKUP($B6&amp;$AW$4&amp;AR$5,【進行】結果入力表!$Q$7:$V$150,3,FALSE))</f>
        <v/>
      </c>
      <c r="BR6" s="247" t="str">
        <f>IF(ISERROR(VLOOKUP($B6&amp;$AW$4&amp;BB$5,【進行】結果入力表!$Q$7:$V$150,3,FALSE)),"",VLOOKUP($B6&amp;$AW$4&amp;BB$5,【進行】結果入力表!$Q$7:$V$150,3,FALSE))</f>
        <v/>
      </c>
      <c r="BS6" s="15"/>
      <c r="BT6" s="254">
        <f t="shared" ref="BT6:BU13" si="31">COUNTIF($BM6:$BR6,BT$5)</f>
        <v>0</v>
      </c>
      <c r="BU6" s="254">
        <f t="shared" si="31"/>
        <v>0</v>
      </c>
      <c r="BV6" s="254">
        <f t="shared" ref="BV6:BV13" si="32">MAX($BM6:$BR6)</f>
        <v>0</v>
      </c>
      <c r="BW6" s="254">
        <f t="shared" ref="BW6:BW13" si="33">BT6*10000+BU6*1000+BV6</f>
        <v>0</v>
      </c>
      <c r="BX6" s="254">
        <f t="shared" ref="BX6:BX13" si="34">RANK(BW6,$BW$6:$BW$33)</f>
        <v>5</v>
      </c>
      <c r="BY6" s="254" t="str">
        <f t="shared" ref="BY6:BY13" si="35">B6</f>
        <v>宮本一</v>
      </c>
      <c r="BZ6" s="254" t="str">
        <f t="shared" ref="BZ6:BZ13" si="36">$A$5</f>
        <v>HRC</v>
      </c>
      <c r="CA6" s="254">
        <f t="shared" ref="CA6:CA13" si="37">IF(BT6&gt;0,"A"&amp;E6,IF(BU6&gt;0,"B"&amp;E6,BV6))</f>
        <v>0</v>
      </c>
      <c r="CB6" s="254"/>
      <c r="CC6" s="63">
        <f>COUNTIF(F6:BC6,"w")</f>
        <v>3</v>
      </c>
      <c r="CD6" s="59">
        <f>COUNT(F6,N6,AH6,X6,AR6,BB6)</f>
        <v>3</v>
      </c>
      <c r="CE6" s="237">
        <f>CC6*180+SUM(F6,N6,AH6,X6,AR6,BB6)*180/E6</f>
        <v>848</v>
      </c>
      <c r="CF6" s="64">
        <f>CC6*100000+CE6</f>
        <v>300848</v>
      </c>
      <c r="CG6" s="15"/>
      <c r="CH6" s="161">
        <f>RANK(CK6,CK6:CK8,1)</f>
        <v>3</v>
      </c>
      <c r="CI6" s="161" t="str">
        <f>A5</f>
        <v>HRC</v>
      </c>
      <c r="CJ6" s="161" t="str">
        <f>VLOOKUP(1,BL6:CF13,14,FALSE)</f>
        <v>堂園雅也</v>
      </c>
      <c r="CK6" s="161">
        <f>VLOOKUP(1,BL6:CF13,13,FALSE)</f>
        <v>5</v>
      </c>
      <c r="CM6" s="161" t="str">
        <f>【結果】リーグ成績表!I6</f>
        <v>w</v>
      </c>
      <c r="CN6" s="8" t="str">
        <f>【結果】リーグ成績表!I7</f>
        <v>w</v>
      </c>
      <c r="CO6" s="8">
        <f>【結果】リーグ成績表!AE16</f>
        <v>51</v>
      </c>
      <c r="CP6" s="8">
        <f>【結果】リーグ成績表!AE17</f>
        <v>0</v>
      </c>
      <c r="CQ6" s="8" t="str">
        <f>【結果】リーグ成績表!BA26</f>
        <v>w</v>
      </c>
      <c r="CR6" s="8" t="str">
        <f>【結果】リーグ成績表!BA27</f>
        <v>w</v>
      </c>
      <c r="CS6" s="8">
        <f>SUM(CM6:CR6)</f>
        <v>51</v>
      </c>
    </row>
    <row r="7" spans="1:97" ht="15" customHeight="1">
      <c r="A7" s="382"/>
      <c r="B7" s="378" t="str">
        <f>IF(【準備】登録!AK22=0,"",【準備】登録!AK22)</f>
        <v>堂園雅也</v>
      </c>
      <c r="C7" s="379"/>
      <c r="D7" s="380"/>
      <c r="E7" s="98">
        <f>【準備】登録!I11</f>
        <v>180</v>
      </c>
      <c r="F7" s="359" t="str">
        <f>IF(ISERROR(VLOOKUP($B7&amp;$I$4&amp;F$5,【進行】結果入力表!$Q$7:$V$150,2,FALSE)),"",VLOOKUP($B7&amp;$I$4&amp;F$5,【進行】結果入力表!$Q$7:$V$150,2,FALSE))</f>
        <v>w</v>
      </c>
      <c r="G7" s="342"/>
      <c r="H7" s="23">
        <f t="shared" si="0"/>
        <v>1</v>
      </c>
      <c r="I7" s="23">
        <f t="shared" si="1"/>
        <v>0</v>
      </c>
      <c r="J7" s="349">
        <f t="shared" ref="J7:J13" si="38">IF(F7="","",IF(F7="w",E7,F7))</f>
        <v>180</v>
      </c>
      <c r="K7" s="350"/>
      <c r="L7" s="341">
        <f t="shared" si="2"/>
        <v>180</v>
      </c>
      <c r="M7" s="363"/>
      <c r="N7" s="359" t="str">
        <f>IF(ISERROR(VLOOKUP($B7&amp;$I$4&amp;N$5,【進行】結果入力表!$Q$7:$V$150,2,FALSE)),"",VLOOKUP($B7&amp;$I$4&amp;N$5,【進行】結果入力表!$Q$7:$V$150,2,FALSE))</f>
        <v>w</v>
      </c>
      <c r="O7" s="342"/>
      <c r="P7" s="152">
        <f t="shared" si="3"/>
        <v>1</v>
      </c>
      <c r="Q7" s="152">
        <f t="shared" si="4"/>
        <v>0</v>
      </c>
      <c r="R7" s="23">
        <f t="shared" si="5"/>
        <v>2</v>
      </c>
      <c r="S7" s="23">
        <f t="shared" si="6"/>
        <v>0</v>
      </c>
      <c r="T7" s="349">
        <f t="shared" ref="T7:T13" si="39">IF(N7="","",IF(N7="w",E7+J7,N7+J7))</f>
        <v>360</v>
      </c>
      <c r="U7" s="350"/>
      <c r="V7" s="341">
        <f t="shared" ref="V7:V13" si="40">IF($N7="","",T7/$E7*180)</f>
        <v>360</v>
      </c>
      <c r="W7" s="363"/>
      <c r="X7" s="359">
        <f>IF(ISERROR(VLOOKUP($B7&amp;$AC$4&amp;X$5,【進行】結果入力表!$Q$7:$V$150,2,FALSE)),"",VLOOKUP($B7&amp;$AC$4&amp;X$5,【進行】結果入力表!$Q$7:$V$150,2,FALSE))</f>
        <v>140</v>
      </c>
      <c r="Y7" s="342"/>
      <c r="Z7" s="152">
        <f t="shared" si="7"/>
        <v>0</v>
      </c>
      <c r="AA7" s="152">
        <f t="shared" si="8"/>
        <v>1</v>
      </c>
      <c r="AB7" s="23">
        <f t="shared" si="9"/>
        <v>2</v>
      </c>
      <c r="AC7" s="23">
        <f t="shared" si="10"/>
        <v>1</v>
      </c>
      <c r="AD7" s="349">
        <f t="shared" si="11"/>
        <v>500</v>
      </c>
      <c r="AE7" s="350"/>
      <c r="AF7" s="341">
        <f t="shared" si="12"/>
        <v>500</v>
      </c>
      <c r="AG7" s="363"/>
      <c r="AH7" s="359" t="str">
        <f>IF(ISERROR(VLOOKUP($B7&amp;$AC$4&amp;AH$5,【進行】結果入力表!$Q$7:$V$150,2,FALSE)),"",VLOOKUP($B7&amp;$AC$4&amp;AH$5,【進行】結果入力表!$Q$7:$V$150,2,FALSE))</f>
        <v>w</v>
      </c>
      <c r="AI7" s="342"/>
      <c r="AJ7" s="152">
        <f t="shared" si="13"/>
        <v>1</v>
      </c>
      <c r="AK7" s="152">
        <f t="shared" si="14"/>
        <v>0</v>
      </c>
      <c r="AL7" s="23">
        <f t="shared" si="15"/>
        <v>3</v>
      </c>
      <c r="AM7" s="23">
        <f t="shared" si="16"/>
        <v>1</v>
      </c>
      <c r="AN7" s="349">
        <f t="shared" si="17"/>
        <v>680</v>
      </c>
      <c r="AO7" s="350"/>
      <c r="AP7" s="341">
        <f t="shared" si="18"/>
        <v>680</v>
      </c>
      <c r="AQ7" s="363"/>
      <c r="AR7" s="359">
        <f>IF(ISERROR(VLOOKUP($B7&amp;$AW$4&amp;AR$5,【進行】結果入力表!$Q$7:$V$150,2,FALSE)),"",VLOOKUP($B7&amp;$AW$4&amp;AR$5,【進行】結果入力表!$Q$7:$V$150,2,FALSE))</f>
        <v>173</v>
      </c>
      <c r="AS7" s="342"/>
      <c r="AT7" s="152">
        <f t="shared" si="19"/>
        <v>0</v>
      </c>
      <c r="AU7" s="152">
        <f t="shared" si="20"/>
        <v>1</v>
      </c>
      <c r="AV7" s="23">
        <f t="shared" si="21"/>
        <v>3</v>
      </c>
      <c r="AW7" s="23">
        <f t="shared" si="22"/>
        <v>2</v>
      </c>
      <c r="AX7" s="349">
        <f t="shared" si="23"/>
        <v>853</v>
      </c>
      <c r="AY7" s="350"/>
      <c r="AZ7" s="341">
        <f t="shared" si="24"/>
        <v>853</v>
      </c>
      <c r="BA7" s="348"/>
      <c r="BB7" s="359" t="str">
        <f>IF(ISERROR(VLOOKUP($B7&amp;$AW$4&amp;BB$5,【進行】結果入力表!$Q$7:$V$150,2,FALSE)),"",VLOOKUP($B7&amp;$AW$4&amp;BB$5,【進行】結果入力表!$Q$7:$V$150,2,FALSE))</f>
        <v>w</v>
      </c>
      <c r="BC7" s="342"/>
      <c r="BD7" s="152">
        <f t="shared" si="25"/>
        <v>1</v>
      </c>
      <c r="BE7" s="152">
        <f t="shared" si="26"/>
        <v>0</v>
      </c>
      <c r="BF7" s="23">
        <f t="shared" si="27"/>
        <v>4</v>
      </c>
      <c r="BG7" s="23">
        <f t="shared" si="28"/>
        <v>2</v>
      </c>
      <c r="BH7" s="349">
        <f t="shared" si="29"/>
        <v>1033</v>
      </c>
      <c r="BI7" s="350"/>
      <c r="BJ7" s="341">
        <f t="shared" si="30"/>
        <v>1033</v>
      </c>
      <c r="BK7" s="342"/>
      <c r="BL7" s="90">
        <f t="shared" ref="BL7:BL13" si="41">IF(SUM(H7:I7,R7:S7)=0,"",IF(B$13="",RANK($CF$6:$CF$12,$CF$6:$CF$12,0),RANK($CF$6:$CF$13,$CF$6:$CF$13,0)))</f>
        <v>1</v>
      </c>
      <c r="BM7" s="248" t="str">
        <f>IF(ISERROR(VLOOKUP($B7&amp;$I$4&amp;F$5,【進行】結果入力表!$Q$7:$V$150,3,FALSE)),"",VLOOKUP($B7&amp;$I$4&amp;F$5,【進行】結果入力表!$Q$7:$V$150,3,FALSE))</f>
        <v/>
      </c>
      <c r="BN7" s="249" t="str">
        <f>IF(ISERROR(VLOOKUP($B7&amp;$I$4&amp;N$5,【進行】結果入力表!$Q$7:$V$150,3,FALSE)),"",VLOOKUP($B7&amp;$I$4&amp;N$5,【進行】結果入力表!$Q$7:$V$150,3,FALSE))</f>
        <v/>
      </c>
      <c r="BO7" s="249" t="str">
        <f>IF(ISERROR(VLOOKUP($B7&amp;$AC$4&amp;X$5,【進行】結果入力表!$Q$7:$V$150,3,FALSE)),"",VLOOKUP($B7&amp;$AC$4&amp;X$5,【進行】結果入力表!$Q$7:$V$150,3,FALSE))</f>
        <v/>
      </c>
      <c r="BP7" s="249" t="str">
        <f>IF(ISERROR(VLOOKUP($B7&amp;$AC$4&amp;AH$5,【進行】結果入力表!$Q$7:$V$150,3,FALSE)),"",VLOOKUP($B7&amp;$AC$4&amp;AH$5,【進行】結果入力表!$Q$7:$V$150,3,FALSE))</f>
        <v/>
      </c>
      <c r="BQ7" s="249" t="str">
        <f>IF(ISERROR(VLOOKUP($B7&amp;$AW$4&amp;AR$5,【進行】結果入力表!$Q$7:$V$150,3,FALSE)),"",VLOOKUP($B7&amp;$AW$4&amp;AR$5,【進行】結果入力表!$Q$7:$V$150,3,FALSE))</f>
        <v/>
      </c>
      <c r="BR7" s="250" t="str">
        <f>IF(ISERROR(VLOOKUP($B7&amp;$AW$4&amp;BB$5,【進行】結果入力表!$Q$7:$V$150,3,FALSE)),"",VLOOKUP($B7&amp;$AW$4&amp;BB$5,【進行】結果入力表!$Q$7:$V$150,3,FALSE))</f>
        <v/>
      </c>
      <c r="BS7" s="15"/>
      <c r="BT7" s="254">
        <f t="shared" si="31"/>
        <v>0</v>
      </c>
      <c r="BU7" s="254">
        <f t="shared" si="31"/>
        <v>0</v>
      </c>
      <c r="BV7" s="254">
        <f t="shared" si="32"/>
        <v>0</v>
      </c>
      <c r="BW7" s="254">
        <f t="shared" si="33"/>
        <v>0</v>
      </c>
      <c r="BX7" s="254">
        <f t="shared" si="34"/>
        <v>5</v>
      </c>
      <c r="BY7" s="254" t="str">
        <f t="shared" si="35"/>
        <v>堂園雅也</v>
      </c>
      <c r="BZ7" s="254" t="str">
        <f t="shared" si="36"/>
        <v>HRC</v>
      </c>
      <c r="CA7" s="254">
        <f t="shared" si="37"/>
        <v>0</v>
      </c>
      <c r="CB7" s="254"/>
      <c r="CC7" s="63">
        <f>COUNTIF(F7:BC7,"w")</f>
        <v>4</v>
      </c>
      <c r="CD7" s="59">
        <f>COUNT(F7,N7,AH7,X7,AR7,BB7)</f>
        <v>2</v>
      </c>
      <c r="CE7" s="237">
        <f>CC7*180+SUM(F7,N7,AH7,X7,AR7,BB7)*180/E7</f>
        <v>1033</v>
      </c>
      <c r="CF7" s="64">
        <f>CC7*100000+CE7</f>
        <v>401033</v>
      </c>
      <c r="CG7" s="15"/>
      <c r="CH7" s="161">
        <f>RANK(CK7,CK6:CK8,1)</f>
        <v>2</v>
      </c>
      <c r="CI7" s="161" t="str">
        <f>A15</f>
        <v>SBC</v>
      </c>
      <c r="CJ7" s="161" t="str">
        <f>VLOOKUP(1,BL16:CF23,14,FALSE)</f>
        <v>大橋正寛</v>
      </c>
      <c r="CK7" s="161">
        <f>VLOOKUP(1,BL16:CF23,13,FALSE)</f>
        <v>4</v>
      </c>
      <c r="CM7" s="161"/>
      <c r="CS7" s="8">
        <f t="shared" ref="CS7:CS12" si="42">SUM(CM7:CR7)</f>
        <v>0</v>
      </c>
    </row>
    <row r="8" spans="1:97" ht="15" customHeight="1">
      <c r="A8" s="382"/>
      <c r="B8" s="378" t="str">
        <f>IF(【準備】登録!AK23=0,"",【準備】登録!AK23)</f>
        <v>平井洸志</v>
      </c>
      <c r="C8" s="379"/>
      <c r="D8" s="380"/>
      <c r="E8" s="98">
        <f>【準備】登録!L11</f>
        <v>180</v>
      </c>
      <c r="F8" s="359" t="str">
        <f>IF(ISERROR(VLOOKUP($B8&amp;$I$4&amp;F$5,【進行】結果入力表!$Q$7:$V$150,2,FALSE)),"",VLOOKUP($B8&amp;$I$4&amp;F$5,【進行】結果入力表!$Q$7:$V$150,2,FALSE))</f>
        <v>w</v>
      </c>
      <c r="G8" s="342"/>
      <c r="H8" s="24">
        <f t="shared" si="0"/>
        <v>1</v>
      </c>
      <c r="I8" s="24">
        <f t="shared" si="1"/>
        <v>0</v>
      </c>
      <c r="J8" s="349">
        <f t="shared" si="38"/>
        <v>180</v>
      </c>
      <c r="K8" s="350"/>
      <c r="L8" s="341">
        <f t="shared" si="2"/>
        <v>180</v>
      </c>
      <c r="M8" s="363"/>
      <c r="N8" s="359" t="str">
        <f>IF(ISERROR(VLOOKUP($B8&amp;$I$4&amp;N$5,【進行】結果入力表!$Q$7:$V$150,2,FALSE)),"",VLOOKUP($B8&amp;$I$4&amp;N$5,【進行】結果入力表!$Q$7:$V$150,2,FALSE))</f>
        <v>w</v>
      </c>
      <c r="O8" s="342"/>
      <c r="P8" s="153">
        <f t="shared" si="3"/>
        <v>1</v>
      </c>
      <c r="Q8" s="153">
        <f t="shared" si="4"/>
        <v>0</v>
      </c>
      <c r="R8" s="24">
        <f t="shared" si="5"/>
        <v>2</v>
      </c>
      <c r="S8" s="24">
        <f t="shared" si="6"/>
        <v>0</v>
      </c>
      <c r="T8" s="349">
        <f t="shared" si="39"/>
        <v>360</v>
      </c>
      <c r="U8" s="350"/>
      <c r="V8" s="341">
        <f t="shared" si="40"/>
        <v>360</v>
      </c>
      <c r="W8" s="363"/>
      <c r="X8" s="359">
        <f>IF(ISERROR(VLOOKUP($B8&amp;$AC$4&amp;X$5,【進行】結果入力表!$Q$7:$V$150,2,FALSE)),"",VLOOKUP($B8&amp;$AC$4&amp;X$5,【進行】結果入力表!$Q$7:$V$150,2,FALSE))</f>
        <v>75</v>
      </c>
      <c r="Y8" s="342"/>
      <c r="Z8" s="153">
        <f t="shared" si="7"/>
        <v>0</v>
      </c>
      <c r="AA8" s="153">
        <f t="shared" si="8"/>
        <v>1</v>
      </c>
      <c r="AB8" s="24">
        <f t="shared" si="9"/>
        <v>2</v>
      </c>
      <c r="AC8" s="24">
        <f t="shared" si="10"/>
        <v>1</v>
      </c>
      <c r="AD8" s="349">
        <f t="shared" si="11"/>
        <v>435</v>
      </c>
      <c r="AE8" s="350"/>
      <c r="AF8" s="341">
        <f t="shared" si="12"/>
        <v>435</v>
      </c>
      <c r="AG8" s="363"/>
      <c r="AH8" s="359" t="str">
        <f>IF(ISERROR(VLOOKUP($B8&amp;$AC$4&amp;AH$5,【進行】結果入力表!$Q$7:$V$150,2,FALSE)),"",VLOOKUP($B8&amp;$AC$4&amp;AH$5,【進行】結果入力表!$Q$7:$V$150,2,FALSE))</f>
        <v>w</v>
      </c>
      <c r="AI8" s="342"/>
      <c r="AJ8" s="153">
        <f t="shared" si="13"/>
        <v>1</v>
      </c>
      <c r="AK8" s="153">
        <f t="shared" si="14"/>
        <v>0</v>
      </c>
      <c r="AL8" s="24">
        <f t="shared" si="15"/>
        <v>3</v>
      </c>
      <c r="AM8" s="24">
        <f t="shared" si="16"/>
        <v>1</v>
      </c>
      <c r="AN8" s="349">
        <f t="shared" si="17"/>
        <v>615</v>
      </c>
      <c r="AO8" s="350"/>
      <c r="AP8" s="341">
        <f t="shared" si="18"/>
        <v>615</v>
      </c>
      <c r="AQ8" s="363"/>
      <c r="AR8" s="359">
        <f>IF(ISERROR(VLOOKUP($B8&amp;$AW$4&amp;AR$5,【進行】結果入力表!$Q$7:$V$150,2,FALSE)),"",VLOOKUP($B8&amp;$AW$4&amp;AR$5,【進行】結果入力表!$Q$7:$V$150,2,FALSE))</f>
        <v>49</v>
      </c>
      <c r="AS8" s="342"/>
      <c r="AT8" s="153">
        <f t="shared" si="19"/>
        <v>0</v>
      </c>
      <c r="AU8" s="153">
        <f t="shared" si="20"/>
        <v>1</v>
      </c>
      <c r="AV8" s="24">
        <f t="shared" si="21"/>
        <v>3</v>
      </c>
      <c r="AW8" s="24">
        <f t="shared" si="22"/>
        <v>2</v>
      </c>
      <c r="AX8" s="349">
        <f t="shared" si="23"/>
        <v>664</v>
      </c>
      <c r="AY8" s="350"/>
      <c r="AZ8" s="341">
        <f t="shared" si="24"/>
        <v>664</v>
      </c>
      <c r="BA8" s="348"/>
      <c r="BB8" s="359">
        <f>IF(ISERROR(VLOOKUP($B8&amp;$AW$4&amp;BB$5,【進行】結果入力表!$Q$7:$V$150,2,FALSE)),"",VLOOKUP($B8&amp;$AW$4&amp;BB$5,【進行】結果入力表!$Q$7:$V$150,2,FALSE))</f>
        <v>148</v>
      </c>
      <c r="BC8" s="342"/>
      <c r="BD8" s="153">
        <f t="shared" si="25"/>
        <v>0</v>
      </c>
      <c r="BE8" s="153">
        <f t="shared" si="26"/>
        <v>1</v>
      </c>
      <c r="BF8" s="24">
        <f t="shared" si="27"/>
        <v>3</v>
      </c>
      <c r="BG8" s="24">
        <f t="shared" si="28"/>
        <v>3</v>
      </c>
      <c r="BH8" s="349">
        <f t="shared" si="29"/>
        <v>812</v>
      </c>
      <c r="BI8" s="350"/>
      <c r="BJ8" s="341">
        <f t="shared" si="30"/>
        <v>812</v>
      </c>
      <c r="BK8" s="342"/>
      <c r="BL8" s="88">
        <f t="shared" si="41"/>
        <v>5</v>
      </c>
      <c r="BM8" s="248" t="str">
        <f>IF(ISERROR(VLOOKUP($B8&amp;$I$4&amp;F$5,【進行】結果入力表!$Q$7:$V$150,3,FALSE)),"",VLOOKUP($B8&amp;$I$4&amp;F$5,【進行】結果入力表!$Q$7:$V$150,3,FALSE))</f>
        <v/>
      </c>
      <c r="BN8" s="249" t="str">
        <f>IF(ISERROR(VLOOKUP($B8&amp;$I$4&amp;N$5,【進行】結果入力表!$Q$7:$V$150,3,FALSE)),"",VLOOKUP($B8&amp;$I$4&amp;N$5,【進行】結果入力表!$Q$7:$V$150,3,FALSE))</f>
        <v/>
      </c>
      <c r="BO8" s="249" t="str">
        <f>IF(ISERROR(VLOOKUP($B8&amp;$AC$4&amp;X$5,【進行】結果入力表!$Q$7:$V$150,3,FALSE)),"",VLOOKUP($B8&amp;$AC$4&amp;X$5,【進行】結果入力表!$Q$7:$V$150,3,FALSE))</f>
        <v/>
      </c>
      <c r="BP8" s="249" t="str">
        <f>IF(ISERROR(VLOOKUP($B8&amp;$AC$4&amp;AH$5,【進行】結果入力表!$Q$7:$V$150,3,FALSE)),"",VLOOKUP($B8&amp;$AC$4&amp;AH$5,【進行】結果入力表!$Q$7:$V$150,3,FALSE))</f>
        <v/>
      </c>
      <c r="BQ8" s="249" t="str">
        <f>IF(ISERROR(VLOOKUP($B8&amp;$AW$4&amp;AR$5,【進行】結果入力表!$Q$7:$V$150,3,FALSE)),"",VLOOKUP($B8&amp;$AW$4&amp;AR$5,【進行】結果入力表!$Q$7:$V$150,3,FALSE))</f>
        <v/>
      </c>
      <c r="BR8" s="250" t="str">
        <f>IF(ISERROR(VLOOKUP($B8&amp;$AW$4&amp;BB$5,【進行】結果入力表!$Q$7:$V$150,3,FALSE)),"",VLOOKUP($B8&amp;$AW$4&amp;BB$5,【進行】結果入力表!$Q$7:$V$150,3,FALSE))</f>
        <v/>
      </c>
      <c r="BS8" s="15"/>
      <c r="BT8" s="254">
        <f t="shared" si="31"/>
        <v>0</v>
      </c>
      <c r="BU8" s="254">
        <f t="shared" si="31"/>
        <v>0</v>
      </c>
      <c r="BV8" s="254">
        <f t="shared" si="32"/>
        <v>0</v>
      </c>
      <c r="BW8" s="254">
        <f t="shared" si="33"/>
        <v>0</v>
      </c>
      <c r="BX8" s="254">
        <f t="shared" si="34"/>
        <v>5</v>
      </c>
      <c r="BY8" s="254" t="str">
        <f t="shared" si="35"/>
        <v>平井洸志</v>
      </c>
      <c r="BZ8" s="254" t="str">
        <f t="shared" si="36"/>
        <v>HRC</v>
      </c>
      <c r="CA8" s="254">
        <f t="shared" si="37"/>
        <v>0</v>
      </c>
      <c r="CB8" s="254"/>
      <c r="CC8" s="63">
        <f>COUNTIF(F8:BC8,"w")</f>
        <v>3</v>
      </c>
      <c r="CD8" s="59">
        <f>COUNT(F8,N8,AH8,X8,AR8,BB8)</f>
        <v>3</v>
      </c>
      <c r="CE8" s="237">
        <f>CC8*180+SUM(F8,N8,AH8,X8,AR8,BB8)*180/E8</f>
        <v>812</v>
      </c>
      <c r="CF8" s="64">
        <f>CC8*100000+CE8</f>
        <v>300812</v>
      </c>
      <c r="CG8" s="15"/>
      <c r="CH8" s="161">
        <f>RANK(CK8,CK6:CK8,1)</f>
        <v>1</v>
      </c>
      <c r="CI8" s="161" t="str">
        <f>A25</f>
        <v>NRC</v>
      </c>
      <c r="CJ8" s="161" t="str">
        <f>VLOOKUP(1,BL26:CF33,14,FALSE)</f>
        <v>金澤茂昌</v>
      </c>
      <c r="CK8" s="161">
        <f>VLOOKUP(1,BL26:CF33,13,FALSE)</f>
        <v>2</v>
      </c>
      <c r="CM8" s="161"/>
      <c r="CS8" s="8">
        <f t="shared" si="42"/>
        <v>0</v>
      </c>
    </row>
    <row r="9" spans="1:97" ht="15" customHeight="1">
      <c r="A9" s="382"/>
      <c r="B9" s="378" t="str">
        <f>IF(【準備】登録!AK24=0,"",【準備】登録!AK24)</f>
        <v>宮井健太郎</v>
      </c>
      <c r="C9" s="379"/>
      <c r="D9" s="380"/>
      <c r="E9" s="98">
        <f>【準備】登録!O11</f>
        <v>180</v>
      </c>
      <c r="F9" s="359" t="str">
        <f>IF(ISERROR(VLOOKUP($B9&amp;$I$4&amp;F$5,【進行】結果入力表!$Q$7:$V$150,2,FALSE)),"",VLOOKUP($B9&amp;$I$4&amp;F$5,【進行】結果入力表!$Q$7:$V$150,2,FALSE))</f>
        <v>w</v>
      </c>
      <c r="G9" s="342"/>
      <c r="H9" s="24">
        <f t="shared" si="0"/>
        <v>1</v>
      </c>
      <c r="I9" s="24">
        <f t="shared" si="1"/>
        <v>0</v>
      </c>
      <c r="J9" s="349">
        <f t="shared" si="38"/>
        <v>180</v>
      </c>
      <c r="K9" s="350"/>
      <c r="L9" s="341">
        <f t="shared" si="2"/>
        <v>180</v>
      </c>
      <c r="M9" s="363"/>
      <c r="N9" s="359">
        <f>IF(ISERROR(VLOOKUP($B9&amp;$I$4&amp;N$5,【進行】結果入力表!$Q$7:$V$150,2,FALSE)),"",VLOOKUP($B9&amp;$I$4&amp;N$5,【進行】結果入力表!$Q$7:$V$150,2,FALSE))</f>
        <v>147</v>
      </c>
      <c r="O9" s="342"/>
      <c r="P9" s="153">
        <f t="shared" si="3"/>
        <v>0</v>
      </c>
      <c r="Q9" s="153">
        <f t="shared" si="4"/>
        <v>1</v>
      </c>
      <c r="R9" s="24">
        <f t="shared" si="5"/>
        <v>1</v>
      </c>
      <c r="S9" s="24">
        <f t="shared" si="6"/>
        <v>1</v>
      </c>
      <c r="T9" s="349">
        <f t="shared" si="39"/>
        <v>327</v>
      </c>
      <c r="U9" s="350"/>
      <c r="V9" s="341">
        <f t="shared" si="40"/>
        <v>327</v>
      </c>
      <c r="W9" s="363"/>
      <c r="X9" s="359">
        <f>IF(ISERROR(VLOOKUP($B9&amp;$AC$4&amp;X$5,【進行】結果入力表!$Q$7:$V$150,2,FALSE)),"",VLOOKUP($B9&amp;$AC$4&amp;X$5,【進行】結果入力表!$Q$7:$V$150,2,FALSE))</f>
        <v>77</v>
      </c>
      <c r="Y9" s="342"/>
      <c r="Z9" s="153">
        <f t="shared" si="7"/>
        <v>0</v>
      </c>
      <c r="AA9" s="153">
        <f t="shared" si="8"/>
        <v>1</v>
      </c>
      <c r="AB9" s="24">
        <f t="shared" si="9"/>
        <v>1</v>
      </c>
      <c r="AC9" s="24">
        <f t="shared" si="10"/>
        <v>2</v>
      </c>
      <c r="AD9" s="349">
        <f t="shared" si="11"/>
        <v>404</v>
      </c>
      <c r="AE9" s="350"/>
      <c r="AF9" s="341">
        <f t="shared" si="12"/>
        <v>404</v>
      </c>
      <c r="AG9" s="363"/>
      <c r="AH9" s="359">
        <f>IF(ISERROR(VLOOKUP($B9&amp;$AC$4&amp;AH$5,【進行】結果入力表!$Q$7:$V$150,2,FALSE)),"",VLOOKUP($B9&amp;$AC$4&amp;AH$5,【進行】結果入力表!$Q$7:$V$150,2,FALSE))</f>
        <v>156</v>
      </c>
      <c r="AI9" s="342"/>
      <c r="AJ9" s="153">
        <f t="shared" si="13"/>
        <v>0</v>
      </c>
      <c r="AK9" s="153">
        <f t="shared" si="14"/>
        <v>1</v>
      </c>
      <c r="AL9" s="24">
        <f t="shared" si="15"/>
        <v>1</v>
      </c>
      <c r="AM9" s="24">
        <f t="shared" si="16"/>
        <v>3</v>
      </c>
      <c r="AN9" s="349">
        <f t="shared" si="17"/>
        <v>560</v>
      </c>
      <c r="AO9" s="350"/>
      <c r="AP9" s="341">
        <f t="shared" si="18"/>
        <v>560</v>
      </c>
      <c r="AQ9" s="363"/>
      <c r="AR9" s="359">
        <f>IF(ISERROR(VLOOKUP($B9&amp;$AW$4&amp;AR$5,【進行】結果入力表!$Q$7:$V$150,2,FALSE)),"",VLOOKUP($B9&amp;$AW$4&amp;AR$5,【進行】結果入力表!$Q$7:$V$150,2,FALSE))</f>
        <v>88</v>
      </c>
      <c r="AS9" s="342"/>
      <c r="AT9" s="153">
        <f t="shared" si="19"/>
        <v>0</v>
      </c>
      <c r="AU9" s="153">
        <f t="shared" si="20"/>
        <v>1</v>
      </c>
      <c r="AV9" s="24">
        <f t="shared" si="21"/>
        <v>1</v>
      </c>
      <c r="AW9" s="24">
        <f t="shared" si="22"/>
        <v>4</v>
      </c>
      <c r="AX9" s="349">
        <f t="shared" si="23"/>
        <v>648</v>
      </c>
      <c r="AY9" s="350"/>
      <c r="AZ9" s="341">
        <f t="shared" si="24"/>
        <v>648</v>
      </c>
      <c r="BA9" s="348"/>
      <c r="BB9" s="359" t="str">
        <f>IF(ISERROR(VLOOKUP($B9&amp;$AW$4&amp;BB$5,【進行】結果入力表!$Q$7:$V$150,2,FALSE)),"",VLOOKUP($B9&amp;$AW$4&amp;BB$5,【進行】結果入力表!$Q$7:$V$150,2,FALSE))</f>
        <v>w</v>
      </c>
      <c r="BC9" s="342"/>
      <c r="BD9" s="153">
        <f t="shared" si="25"/>
        <v>1</v>
      </c>
      <c r="BE9" s="153">
        <f t="shared" si="26"/>
        <v>0</v>
      </c>
      <c r="BF9" s="24">
        <f t="shared" si="27"/>
        <v>2</v>
      </c>
      <c r="BG9" s="24">
        <f t="shared" si="28"/>
        <v>4</v>
      </c>
      <c r="BH9" s="349">
        <f t="shared" si="29"/>
        <v>828</v>
      </c>
      <c r="BI9" s="350"/>
      <c r="BJ9" s="341">
        <f t="shared" si="30"/>
        <v>827.99999999999989</v>
      </c>
      <c r="BK9" s="342"/>
      <c r="BL9" s="90">
        <f t="shared" si="41"/>
        <v>6</v>
      </c>
      <c r="BM9" s="248" t="str">
        <f>IF(ISERROR(VLOOKUP($B9&amp;$I$4&amp;F$5,【進行】結果入力表!$Q$7:$V$150,3,FALSE)),"",VLOOKUP($B9&amp;$I$4&amp;F$5,【進行】結果入力表!$Q$7:$V$150,3,FALSE))</f>
        <v/>
      </c>
      <c r="BN9" s="249" t="str">
        <f>IF(ISERROR(VLOOKUP($B9&amp;$I$4&amp;N$5,【進行】結果入力表!$Q$7:$V$150,3,FALSE)),"",VLOOKUP($B9&amp;$I$4&amp;N$5,【進行】結果入力表!$Q$7:$V$150,3,FALSE))</f>
        <v/>
      </c>
      <c r="BO9" s="249" t="str">
        <f>IF(ISERROR(VLOOKUP($B9&amp;$AC$4&amp;X$5,【進行】結果入力表!$Q$7:$V$150,3,FALSE)),"",VLOOKUP($B9&amp;$AC$4&amp;X$5,【進行】結果入力表!$Q$7:$V$150,3,FALSE))</f>
        <v/>
      </c>
      <c r="BP9" s="249" t="str">
        <f>IF(ISERROR(VLOOKUP($B9&amp;$AC$4&amp;AH$5,【進行】結果入力表!$Q$7:$V$150,3,FALSE)),"",VLOOKUP($B9&amp;$AC$4&amp;AH$5,【進行】結果入力表!$Q$7:$V$150,3,FALSE))</f>
        <v/>
      </c>
      <c r="BQ9" s="249" t="str">
        <f>IF(ISERROR(VLOOKUP($B9&amp;$AW$4&amp;AR$5,【進行】結果入力表!$Q$7:$V$150,3,FALSE)),"",VLOOKUP($B9&amp;$AW$4&amp;AR$5,【進行】結果入力表!$Q$7:$V$150,3,FALSE))</f>
        <v/>
      </c>
      <c r="BR9" s="250" t="str">
        <f>IF(ISERROR(VLOOKUP($B9&amp;$AW$4&amp;BB$5,【進行】結果入力表!$Q$7:$V$150,3,FALSE)),"",VLOOKUP($B9&amp;$AW$4&amp;BB$5,【進行】結果入力表!$Q$7:$V$150,3,FALSE))</f>
        <v/>
      </c>
      <c r="BS9" s="15"/>
      <c r="BT9" s="254">
        <f t="shared" si="31"/>
        <v>0</v>
      </c>
      <c r="BU9" s="254">
        <f t="shared" si="31"/>
        <v>0</v>
      </c>
      <c r="BV9" s="254">
        <f t="shared" si="32"/>
        <v>0</v>
      </c>
      <c r="BW9" s="254">
        <f t="shared" si="33"/>
        <v>0</v>
      </c>
      <c r="BX9" s="254">
        <f t="shared" si="34"/>
        <v>5</v>
      </c>
      <c r="BY9" s="254" t="str">
        <f t="shared" si="35"/>
        <v>宮井健太郎</v>
      </c>
      <c r="BZ9" s="254" t="str">
        <f t="shared" si="36"/>
        <v>HRC</v>
      </c>
      <c r="CA9" s="254">
        <f t="shared" si="37"/>
        <v>0</v>
      </c>
      <c r="CB9" s="254"/>
      <c r="CC9" s="63">
        <f>COUNTIF(F9:BC9,"w")</f>
        <v>2</v>
      </c>
      <c r="CD9" s="59">
        <f>COUNT(F9,N9,AH9,X9,AR9,BB9)</f>
        <v>4</v>
      </c>
      <c r="CE9" s="237">
        <f>CC9*180+SUM(F9,N9,AH9,X9,AR9,BB9)*180/E9</f>
        <v>828</v>
      </c>
      <c r="CF9" s="64">
        <f>CC9*100000+CE9</f>
        <v>200828</v>
      </c>
      <c r="CG9" s="15"/>
      <c r="CH9" s="15"/>
      <c r="CI9" s="161"/>
      <c r="CJ9" s="161"/>
      <c r="CK9" s="161"/>
      <c r="CL9" s="161"/>
      <c r="CM9" s="161"/>
      <c r="CS9" s="8">
        <f t="shared" si="42"/>
        <v>0</v>
      </c>
    </row>
    <row r="10" spans="1:97" ht="15" customHeight="1">
      <c r="A10" s="382"/>
      <c r="B10" s="378" t="str">
        <f>IF(【準備】登録!AK25=0,"",【準備】登録!AK25)</f>
        <v>金井健太郎</v>
      </c>
      <c r="C10" s="379"/>
      <c r="D10" s="380"/>
      <c r="E10" s="98">
        <f>【準備】登録!R11</f>
        <v>180</v>
      </c>
      <c r="F10" s="359">
        <f>IF(ISERROR(VLOOKUP($B10&amp;$I$4&amp;F$5,【進行】結果入力表!$Q$7:$V$150,2,FALSE)),"",VLOOKUP($B10&amp;$I$4&amp;F$5,【進行】結果入力表!$Q$7:$V$150,2,FALSE))</f>
        <v>25</v>
      </c>
      <c r="G10" s="342"/>
      <c r="H10" s="24">
        <f t="shared" si="0"/>
        <v>0</v>
      </c>
      <c r="I10" s="24">
        <f t="shared" si="1"/>
        <v>1</v>
      </c>
      <c r="J10" s="349">
        <f t="shared" si="38"/>
        <v>25</v>
      </c>
      <c r="K10" s="350"/>
      <c r="L10" s="341">
        <f t="shared" si="2"/>
        <v>25</v>
      </c>
      <c r="M10" s="363"/>
      <c r="N10" s="359">
        <f>IF(ISERROR(VLOOKUP($B10&amp;$I$4&amp;N$5,【進行】結果入力表!$Q$7:$V$150,2,FALSE)),"",VLOOKUP($B10&amp;$I$4&amp;N$5,【進行】結果入力表!$Q$7:$V$150,2,FALSE))</f>
        <v>129</v>
      </c>
      <c r="O10" s="342"/>
      <c r="P10" s="153">
        <f t="shared" si="3"/>
        <v>0</v>
      </c>
      <c r="Q10" s="153">
        <f t="shared" si="4"/>
        <v>1</v>
      </c>
      <c r="R10" s="24">
        <f t="shared" si="5"/>
        <v>0</v>
      </c>
      <c r="S10" s="24">
        <f t="shared" si="6"/>
        <v>2</v>
      </c>
      <c r="T10" s="349">
        <f t="shared" si="39"/>
        <v>154</v>
      </c>
      <c r="U10" s="350"/>
      <c r="V10" s="341">
        <f t="shared" si="40"/>
        <v>154</v>
      </c>
      <c r="W10" s="363"/>
      <c r="X10" s="359" t="str">
        <f>IF(ISERROR(VLOOKUP($B10&amp;$AC$4&amp;X$5,【進行】結果入力表!$Q$7:$V$150,2,FALSE)),"",VLOOKUP($B10&amp;$AC$4&amp;X$5,【進行】結果入力表!$Q$7:$V$150,2,FALSE))</f>
        <v>w</v>
      </c>
      <c r="Y10" s="342"/>
      <c r="Z10" s="153">
        <f t="shared" si="7"/>
        <v>1</v>
      </c>
      <c r="AA10" s="153">
        <f t="shared" si="8"/>
        <v>0</v>
      </c>
      <c r="AB10" s="24">
        <f t="shared" si="9"/>
        <v>1</v>
      </c>
      <c r="AC10" s="24">
        <f t="shared" si="10"/>
        <v>2</v>
      </c>
      <c r="AD10" s="349">
        <f t="shared" si="11"/>
        <v>334</v>
      </c>
      <c r="AE10" s="350"/>
      <c r="AF10" s="341">
        <f t="shared" si="12"/>
        <v>334</v>
      </c>
      <c r="AG10" s="363"/>
      <c r="AH10" s="359" t="str">
        <f>IF(ISERROR(VLOOKUP($B10&amp;$AC$4&amp;AH$5,【進行】結果入力表!$Q$7:$V$150,2,FALSE)),"",VLOOKUP($B10&amp;$AC$4&amp;AH$5,【進行】結果入力表!$Q$7:$V$150,2,FALSE))</f>
        <v>w</v>
      </c>
      <c r="AI10" s="342"/>
      <c r="AJ10" s="153">
        <f t="shared" si="13"/>
        <v>1</v>
      </c>
      <c r="AK10" s="153">
        <f t="shared" si="14"/>
        <v>0</v>
      </c>
      <c r="AL10" s="24">
        <f t="shared" si="15"/>
        <v>2</v>
      </c>
      <c r="AM10" s="24">
        <f t="shared" si="16"/>
        <v>2</v>
      </c>
      <c r="AN10" s="349">
        <f t="shared" si="17"/>
        <v>514</v>
      </c>
      <c r="AO10" s="350"/>
      <c r="AP10" s="341">
        <f t="shared" si="18"/>
        <v>514</v>
      </c>
      <c r="AQ10" s="363"/>
      <c r="AR10" s="359" t="str">
        <f>IF(ISERROR(VLOOKUP($B10&amp;$AW$4&amp;AR$5,【進行】結果入力表!$Q$7:$V$150,2,FALSE)),"",VLOOKUP($B10&amp;$AW$4&amp;AR$5,【進行】結果入力表!$Q$7:$V$150,2,FALSE))</f>
        <v>w</v>
      </c>
      <c r="AS10" s="342"/>
      <c r="AT10" s="153">
        <f t="shared" si="19"/>
        <v>1</v>
      </c>
      <c r="AU10" s="153">
        <f t="shared" si="20"/>
        <v>0</v>
      </c>
      <c r="AV10" s="24">
        <f t="shared" si="21"/>
        <v>3</v>
      </c>
      <c r="AW10" s="24">
        <f t="shared" si="22"/>
        <v>2</v>
      </c>
      <c r="AX10" s="349">
        <f t="shared" si="23"/>
        <v>694</v>
      </c>
      <c r="AY10" s="350"/>
      <c r="AZ10" s="341">
        <f t="shared" si="24"/>
        <v>694</v>
      </c>
      <c r="BA10" s="348"/>
      <c r="BB10" s="359" t="str">
        <f>IF(ISERROR(VLOOKUP($B10&amp;$AW$4&amp;BB$5,【進行】結果入力表!$Q$7:$V$150,2,FALSE)),"",VLOOKUP($B10&amp;$AW$4&amp;BB$5,【進行】結果入力表!$Q$7:$V$150,2,FALSE))</f>
        <v>w</v>
      </c>
      <c r="BC10" s="342"/>
      <c r="BD10" s="153">
        <f t="shared" si="25"/>
        <v>1</v>
      </c>
      <c r="BE10" s="153">
        <f t="shared" si="26"/>
        <v>0</v>
      </c>
      <c r="BF10" s="24">
        <f t="shared" si="27"/>
        <v>4</v>
      </c>
      <c r="BG10" s="24">
        <f t="shared" si="28"/>
        <v>2</v>
      </c>
      <c r="BH10" s="349">
        <f t="shared" si="29"/>
        <v>874</v>
      </c>
      <c r="BI10" s="350"/>
      <c r="BJ10" s="341">
        <f t="shared" si="30"/>
        <v>873.99999999999989</v>
      </c>
      <c r="BK10" s="342"/>
      <c r="BL10" s="88">
        <f t="shared" si="41"/>
        <v>2</v>
      </c>
      <c r="BM10" s="248" t="str">
        <f>IF(ISERROR(VLOOKUP($B10&amp;$I$4&amp;F$5,【進行】結果入力表!$Q$7:$V$150,3,FALSE)),"",VLOOKUP($B10&amp;$I$4&amp;F$5,【進行】結果入力表!$Q$7:$V$150,3,FALSE))</f>
        <v/>
      </c>
      <c r="BN10" s="249" t="str">
        <f>IF(ISERROR(VLOOKUP($B10&amp;$I$4&amp;N$5,【進行】結果入力表!$Q$7:$V$150,3,FALSE)),"",VLOOKUP($B10&amp;$I$4&amp;N$5,【進行】結果入力表!$Q$7:$V$150,3,FALSE))</f>
        <v/>
      </c>
      <c r="BO10" s="249" t="str">
        <f>IF(ISERROR(VLOOKUP($B10&amp;$AC$4&amp;X$5,【進行】結果入力表!$Q$7:$V$150,3,FALSE)),"",VLOOKUP($B10&amp;$AC$4&amp;X$5,【進行】結果入力表!$Q$7:$V$150,3,FALSE))</f>
        <v/>
      </c>
      <c r="BP10" s="249" t="str">
        <f>IF(ISERROR(VLOOKUP($B10&amp;$AC$4&amp;AH$5,【進行】結果入力表!$Q$7:$V$150,3,FALSE)),"",VLOOKUP($B10&amp;$AC$4&amp;AH$5,【進行】結果入力表!$Q$7:$V$150,3,FALSE))</f>
        <v/>
      </c>
      <c r="BQ10" s="249" t="str">
        <f>IF(ISERROR(VLOOKUP($B10&amp;$AW$4&amp;AR$5,【進行】結果入力表!$Q$7:$V$150,3,FALSE)),"",VLOOKUP($B10&amp;$AW$4&amp;AR$5,【進行】結果入力表!$Q$7:$V$150,3,FALSE))</f>
        <v/>
      </c>
      <c r="BR10" s="250" t="str">
        <f>IF(ISERROR(VLOOKUP($B10&amp;$AW$4&amp;BB$5,【進行】結果入力表!$Q$7:$V$150,3,FALSE)),"",VLOOKUP($B10&amp;$AW$4&amp;BB$5,【進行】結果入力表!$Q$7:$V$150,3,FALSE))</f>
        <v/>
      </c>
      <c r="BS10" s="15"/>
      <c r="BT10" s="254">
        <f t="shared" si="31"/>
        <v>0</v>
      </c>
      <c r="BU10" s="254">
        <f t="shared" si="31"/>
        <v>0</v>
      </c>
      <c r="BV10" s="254">
        <f t="shared" si="32"/>
        <v>0</v>
      </c>
      <c r="BW10" s="254">
        <f t="shared" si="33"/>
        <v>0</v>
      </c>
      <c r="BX10" s="254">
        <f t="shared" si="34"/>
        <v>5</v>
      </c>
      <c r="BY10" s="254" t="str">
        <f t="shared" si="35"/>
        <v>金井健太郎</v>
      </c>
      <c r="BZ10" s="254" t="str">
        <f t="shared" si="36"/>
        <v>HRC</v>
      </c>
      <c r="CA10" s="254">
        <f t="shared" si="37"/>
        <v>0</v>
      </c>
      <c r="CB10" s="254"/>
      <c r="CC10" s="63">
        <f>COUNTIF(F10:BC10,"w")</f>
        <v>4</v>
      </c>
      <c r="CD10" s="59">
        <f>COUNT(F10,N10,AH10,X10,AR10,BB10)</f>
        <v>2</v>
      </c>
      <c r="CE10" s="237">
        <f>CC10*180+SUM(F10,N10,AH10,X10,AR10,BB10)*180/E10</f>
        <v>874</v>
      </c>
      <c r="CF10" s="64">
        <f>CC10*100000+CE10</f>
        <v>400874</v>
      </c>
      <c r="CG10" s="15"/>
      <c r="CH10" s="15"/>
      <c r="CI10" s="161"/>
      <c r="CJ10" s="161"/>
      <c r="CK10" s="161"/>
      <c r="CL10" s="161"/>
      <c r="CM10" s="161" t="str">
        <f>【結果】リーグ成績表!I26</f>
        <v>w</v>
      </c>
      <c r="CN10" s="8" t="str">
        <f>【結果】リーグ成績表!I27</f>
        <v>w</v>
      </c>
      <c r="CO10" s="8" t="str">
        <f>【結果】リーグ成績表!AE36</f>
        <v/>
      </c>
      <c r="CP10" s="8" t="str">
        <f>【結果】リーグ成績表!AE37</f>
        <v/>
      </c>
      <c r="CQ10" s="8" t="str">
        <f>【結果】リーグ成績表!BA11</f>
        <v>w</v>
      </c>
      <c r="CR10" s="8">
        <f>【結果】リーグ成績表!BA12</f>
        <v>165</v>
      </c>
      <c r="CS10" s="8">
        <f t="shared" si="42"/>
        <v>165</v>
      </c>
    </row>
    <row r="11" spans="1:97" ht="15" customHeight="1">
      <c r="A11" s="382"/>
      <c r="B11" s="378" t="str">
        <f>IF(【準備】登録!AK26=0,"",【準備】登録!AK26)</f>
        <v>河地恵里</v>
      </c>
      <c r="C11" s="379"/>
      <c r="D11" s="380"/>
      <c r="E11" s="98">
        <f>IF(【準備】登録!U11="","",【準備】登録!U11)</f>
        <v>140</v>
      </c>
      <c r="F11" s="359">
        <f>IF(ISERROR(VLOOKUP($B11&amp;$I$4&amp;F$5,【進行】結果入力表!$Q$7:$V$150,2,FALSE)),"",VLOOKUP($B11&amp;$I$4&amp;F$5,【進行】結果入力表!$Q$7:$V$150,2,FALSE))</f>
        <v>139</v>
      </c>
      <c r="G11" s="342"/>
      <c r="H11" s="24">
        <f t="shared" si="0"/>
        <v>0</v>
      </c>
      <c r="I11" s="24">
        <f t="shared" si="1"/>
        <v>1</v>
      </c>
      <c r="J11" s="349">
        <f t="shared" si="38"/>
        <v>139</v>
      </c>
      <c r="K11" s="350"/>
      <c r="L11" s="374">
        <f t="shared" si="2"/>
        <v>178.71428571428572</v>
      </c>
      <c r="M11" s="375"/>
      <c r="N11" s="397" t="str">
        <f>IF(ISERROR(VLOOKUP($B11&amp;$I$4&amp;N$5,【進行】結果入力表!$Q$7:$V$150,2,FALSE)),"",VLOOKUP($B11&amp;$I$4&amp;N$5,【進行】結果入力表!$Q$7:$V$150,2,FALSE))</f>
        <v>w</v>
      </c>
      <c r="O11" s="398"/>
      <c r="P11" s="156">
        <f t="shared" si="3"/>
        <v>1</v>
      </c>
      <c r="Q11" s="156">
        <f t="shared" si="4"/>
        <v>0</v>
      </c>
      <c r="R11" s="157">
        <f t="shared" si="5"/>
        <v>1</v>
      </c>
      <c r="S11" s="157">
        <f t="shared" si="6"/>
        <v>1</v>
      </c>
      <c r="T11" s="376">
        <f t="shared" si="39"/>
        <v>279</v>
      </c>
      <c r="U11" s="377"/>
      <c r="V11" s="374">
        <f t="shared" si="40"/>
        <v>358.71428571428572</v>
      </c>
      <c r="W11" s="375"/>
      <c r="X11" s="397">
        <f>IF(ISERROR(VLOOKUP($B11&amp;$AC$4&amp;X$5,【進行】結果入力表!$Q$7:$V$150,2,FALSE)),"",VLOOKUP($B11&amp;$AC$4&amp;X$5,【進行】結果入力表!$Q$7:$V$150,2,FALSE))</f>
        <v>52</v>
      </c>
      <c r="Y11" s="398"/>
      <c r="Z11" s="156">
        <f t="shared" si="7"/>
        <v>0</v>
      </c>
      <c r="AA11" s="156">
        <f t="shared" si="8"/>
        <v>1</v>
      </c>
      <c r="AB11" s="157">
        <f t="shared" si="9"/>
        <v>1</v>
      </c>
      <c r="AC11" s="157">
        <f t="shared" si="10"/>
        <v>2</v>
      </c>
      <c r="AD11" s="376">
        <f t="shared" si="11"/>
        <v>331</v>
      </c>
      <c r="AE11" s="377"/>
      <c r="AF11" s="374">
        <f t="shared" si="12"/>
        <v>425.57142857142856</v>
      </c>
      <c r="AG11" s="375"/>
      <c r="AH11" s="359" t="str">
        <f>IF(ISERROR(VLOOKUP($B11&amp;$AC$4&amp;AH$5,【進行】結果入力表!$Q$7:$V$150,2,FALSE)),"",VLOOKUP($B11&amp;$AC$4&amp;AH$5,【進行】結果入力表!$Q$7:$V$150,2,FALSE))</f>
        <v>w</v>
      </c>
      <c r="AI11" s="342"/>
      <c r="AJ11" s="153">
        <f t="shared" si="13"/>
        <v>1</v>
      </c>
      <c r="AK11" s="153">
        <f t="shared" si="14"/>
        <v>0</v>
      </c>
      <c r="AL11" s="24">
        <f t="shared" si="15"/>
        <v>2</v>
      </c>
      <c r="AM11" s="24">
        <f t="shared" si="16"/>
        <v>2</v>
      </c>
      <c r="AN11" s="349">
        <f t="shared" si="17"/>
        <v>471</v>
      </c>
      <c r="AO11" s="350"/>
      <c r="AP11" s="341">
        <f t="shared" si="18"/>
        <v>605.57142857142856</v>
      </c>
      <c r="AQ11" s="363"/>
      <c r="AR11" s="359">
        <f>IF(ISERROR(VLOOKUP($B11&amp;$AW$4&amp;AR$5,【進行】結果入力表!$Q$7:$V$150,2,FALSE)),"",VLOOKUP($B11&amp;$AW$4&amp;AR$5,【進行】結果入力表!$Q$7:$V$150,2,FALSE))</f>
        <v>85</v>
      </c>
      <c r="AS11" s="342"/>
      <c r="AT11" s="153">
        <f t="shared" si="19"/>
        <v>0</v>
      </c>
      <c r="AU11" s="153">
        <f t="shared" si="20"/>
        <v>1</v>
      </c>
      <c r="AV11" s="24">
        <f t="shared" si="21"/>
        <v>2</v>
      </c>
      <c r="AW11" s="24">
        <f t="shared" si="22"/>
        <v>3</v>
      </c>
      <c r="AX11" s="349">
        <f t="shared" si="23"/>
        <v>556</v>
      </c>
      <c r="AY11" s="350"/>
      <c r="AZ11" s="341">
        <f t="shared" si="24"/>
        <v>714.85714285714289</v>
      </c>
      <c r="BA11" s="348"/>
      <c r="BB11" s="359" t="str">
        <f>IF(ISERROR(VLOOKUP($B11&amp;$AW$4&amp;BB$5,【進行】結果入力表!$Q$7:$V$150,2,FALSE)),"",VLOOKUP($B11&amp;$AW$4&amp;BB$5,【進行】結果入力表!$Q$7:$V$150,2,FALSE))</f>
        <v>w</v>
      </c>
      <c r="BC11" s="342"/>
      <c r="BD11" s="153">
        <f t="shared" si="25"/>
        <v>1</v>
      </c>
      <c r="BE11" s="153">
        <f t="shared" si="26"/>
        <v>0</v>
      </c>
      <c r="BF11" s="24">
        <f t="shared" si="27"/>
        <v>3</v>
      </c>
      <c r="BG11" s="24">
        <f t="shared" si="28"/>
        <v>3</v>
      </c>
      <c r="BH11" s="349">
        <f t="shared" si="29"/>
        <v>696</v>
      </c>
      <c r="BI11" s="350"/>
      <c r="BJ11" s="341">
        <f t="shared" si="30"/>
        <v>894.85714285714289</v>
      </c>
      <c r="BK11" s="342"/>
      <c r="BL11" s="90">
        <f t="shared" si="41"/>
        <v>3</v>
      </c>
      <c r="BM11" s="248" t="str">
        <f>IF(ISERROR(VLOOKUP($B11&amp;$I$4&amp;F$5,【進行】結果入力表!$Q$7:$V$150,3,FALSE)),"",VLOOKUP($B11&amp;$I$4&amp;F$5,【進行】結果入力表!$Q$7:$V$150,3,FALSE))</f>
        <v/>
      </c>
      <c r="BN11" s="249" t="str">
        <f>IF(ISERROR(VLOOKUP($B11&amp;$I$4&amp;N$5,【進行】結果入力表!$Q$7:$V$150,3,FALSE)),"",VLOOKUP($B11&amp;$I$4&amp;N$5,【進行】結果入力表!$Q$7:$V$150,3,FALSE))</f>
        <v/>
      </c>
      <c r="BO11" s="249" t="str">
        <f>IF(ISERROR(VLOOKUP($B11&amp;$AC$4&amp;X$5,【進行】結果入力表!$Q$7:$V$150,3,FALSE)),"",VLOOKUP($B11&amp;$AC$4&amp;X$5,【進行】結果入力表!$Q$7:$V$150,3,FALSE))</f>
        <v/>
      </c>
      <c r="BP11" s="249" t="str">
        <f>IF(ISERROR(VLOOKUP($B11&amp;$AC$4&amp;AH$5,【進行】結果入力表!$Q$7:$V$150,3,FALSE)),"",VLOOKUP($B11&amp;$AC$4&amp;AH$5,【進行】結果入力表!$Q$7:$V$150,3,FALSE))</f>
        <v/>
      </c>
      <c r="BQ11" s="249" t="str">
        <f>IF(ISERROR(VLOOKUP($B11&amp;$AW$4&amp;AR$5,【進行】結果入力表!$Q$7:$V$150,3,FALSE)),"",VLOOKUP($B11&amp;$AW$4&amp;AR$5,【進行】結果入力表!$Q$7:$V$150,3,FALSE))</f>
        <v/>
      </c>
      <c r="BR11" s="250" t="str">
        <f>IF(ISERROR(VLOOKUP($B11&amp;$AW$4&amp;BB$5,【進行】結果入力表!$Q$7:$V$150,3,FALSE)),"",VLOOKUP($B11&amp;$AW$4&amp;BB$5,【進行】結果入力表!$Q$7:$V$150,3,FALSE))</f>
        <v/>
      </c>
      <c r="BS11" s="15"/>
      <c r="BT11" s="254">
        <f t="shared" si="31"/>
        <v>0</v>
      </c>
      <c r="BU11" s="254">
        <f t="shared" si="31"/>
        <v>0</v>
      </c>
      <c r="BV11" s="254">
        <f t="shared" si="32"/>
        <v>0</v>
      </c>
      <c r="BW11" s="254">
        <f t="shared" si="33"/>
        <v>0</v>
      </c>
      <c r="BX11" s="254">
        <f t="shared" si="34"/>
        <v>5</v>
      </c>
      <c r="BY11" s="254" t="str">
        <f t="shared" si="35"/>
        <v>河地恵里</v>
      </c>
      <c r="BZ11" s="254" t="str">
        <f t="shared" si="36"/>
        <v>HRC</v>
      </c>
      <c r="CA11" s="254">
        <f t="shared" si="37"/>
        <v>0</v>
      </c>
      <c r="CB11" s="254"/>
      <c r="CC11" s="63">
        <f>IF(B11="","",COUNTIF(F11:BC11,"w"))</f>
        <v>3</v>
      </c>
      <c r="CD11" s="59">
        <f>IF(B11="","",COUNT(F11,N11,AH11,X11,AR11,BB11))</f>
        <v>3</v>
      </c>
      <c r="CE11" s="237">
        <f>IF(CC11="","",CC11*180+SUM(F11,N11,AH11,X11,AR11,BB11)*180/E11)</f>
        <v>894.85714285714289</v>
      </c>
      <c r="CF11" s="64">
        <f>IF(B11="","",CC11*100000+CE11)</f>
        <v>300894.85714285716</v>
      </c>
      <c r="CG11" s="15"/>
      <c r="CH11" s="15"/>
      <c r="CI11" s="161"/>
      <c r="CJ11" s="161"/>
      <c r="CK11" s="161"/>
      <c r="CL11" s="161"/>
      <c r="CM11" s="161"/>
      <c r="CS11" s="8">
        <f>SUM(CM11:CR11)</f>
        <v>0</v>
      </c>
    </row>
    <row r="12" spans="1:97" ht="15" customHeight="1">
      <c r="A12" s="382"/>
      <c r="B12" s="378" t="str">
        <f>IF(【準備】登録!AK27=0,"",【準備】登録!AK27)</f>
        <v/>
      </c>
      <c r="C12" s="379"/>
      <c r="D12" s="380"/>
      <c r="E12" s="98" t="str">
        <f>IF(【準備】登録!X11="","",【準備】登録!X11)</f>
        <v/>
      </c>
      <c r="F12" s="359" t="str">
        <f>IF(ISERROR(VLOOKUP($B12&amp;$I$4&amp;F$5,【進行】結果入力表!$Q$7:$V$150,2,FALSE)),"",VLOOKUP($B12&amp;$I$4&amp;F$5,【進行】結果入力表!$Q$7:$V$150,2,FALSE))</f>
        <v/>
      </c>
      <c r="G12" s="342"/>
      <c r="H12" s="24" t="str">
        <f t="shared" si="0"/>
        <v/>
      </c>
      <c r="I12" s="24" t="str">
        <f t="shared" si="1"/>
        <v/>
      </c>
      <c r="J12" s="349" t="str">
        <f t="shared" si="38"/>
        <v/>
      </c>
      <c r="K12" s="350"/>
      <c r="L12" s="341" t="str">
        <f t="shared" si="2"/>
        <v/>
      </c>
      <c r="M12" s="363"/>
      <c r="N12" s="359" t="str">
        <f>IF(ISERROR(VLOOKUP($B12&amp;$I$4&amp;N$5,【進行】結果入力表!$Q$7:$V$150,2,FALSE)),"",VLOOKUP($B12&amp;$I$4&amp;N$5,【進行】結果入力表!$Q$7:$V$150,2,FALSE))</f>
        <v/>
      </c>
      <c r="O12" s="342"/>
      <c r="P12" s="153" t="str">
        <f t="shared" si="3"/>
        <v/>
      </c>
      <c r="Q12" s="153" t="str">
        <f t="shared" si="4"/>
        <v/>
      </c>
      <c r="R12" s="24" t="str">
        <f t="shared" si="5"/>
        <v/>
      </c>
      <c r="S12" s="24" t="str">
        <f t="shared" si="6"/>
        <v/>
      </c>
      <c r="T12" s="349" t="str">
        <f t="shared" si="39"/>
        <v/>
      </c>
      <c r="U12" s="350"/>
      <c r="V12" s="341" t="str">
        <f t="shared" si="40"/>
        <v/>
      </c>
      <c r="W12" s="363"/>
      <c r="X12" s="359" t="str">
        <f>IF(ISERROR(VLOOKUP($B12&amp;$AC$4&amp;X$5,【進行】結果入力表!$Q$7:$V$150,2,FALSE)),"",VLOOKUP($B12&amp;$AC$4&amp;X$5,【進行】結果入力表!$Q$7:$V$150,2,FALSE))</f>
        <v/>
      </c>
      <c r="Y12" s="342"/>
      <c r="Z12" s="153" t="str">
        <f t="shared" si="7"/>
        <v/>
      </c>
      <c r="AA12" s="153" t="str">
        <f t="shared" si="8"/>
        <v/>
      </c>
      <c r="AB12" s="24" t="str">
        <f t="shared" si="9"/>
        <v/>
      </c>
      <c r="AC12" s="24" t="str">
        <f t="shared" si="10"/>
        <v/>
      </c>
      <c r="AD12" s="349" t="str">
        <f t="shared" si="11"/>
        <v/>
      </c>
      <c r="AE12" s="350"/>
      <c r="AF12" s="341" t="str">
        <f t="shared" si="12"/>
        <v/>
      </c>
      <c r="AG12" s="363"/>
      <c r="AH12" s="359" t="str">
        <f>IF(ISERROR(VLOOKUP($B12&amp;$AC$4&amp;AH$5,【進行】結果入力表!$Q$7:$V$150,2,FALSE)),"",VLOOKUP($B12&amp;$AC$4&amp;AH$5,【進行】結果入力表!$Q$7:$V$150,2,FALSE))</f>
        <v/>
      </c>
      <c r="AI12" s="342"/>
      <c r="AJ12" s="153" t="str">
        <f t="shared" si="13"/>
        <v/>
      </c>
      <c r="AK12" s="153" t="str">
        <f t="shared" si="14"/>
        <v/>
      </c>
      <c r="AL12" s="24" t="str">
        <f t="shared" si="15"/>
        <v/>
      </c>
      <c r="AM12" s="24" t="str">
        <f t="shared" si="16"/>
        <v/>
      </c>
      <c r="AN12" s="349" t="str">
        <f t="shared" si="17"/>
        <v/>
      </c>
      <c r="AO12" s="350"/>
      <c r="AP12" s="341" t="str">
        <f t="shared" si="18"/>
        <v/>
      </c>
      <c r="AQ12" s="363"/>
      <c r="AR12" s="359" t="str">
        <f>IF(ISERROR(VLOOKUP($B12&amp;$AW$4&amp;AR$5,【進行】結果入力表!$Q$7:$V$150,2,FALSE)),"",VLOOKUP($B12&amp;$AW$4&amp;AR$5,【進行】結果入力表!$Q$7:$V$150,2,FALSE))</f>
        <v/>
      </c>
      <c r="AS12" s="342"/>
      <c r="AT12" s="153" t="str">
        <f t="shared" si="19"/>
        <v/>
      </c>
      <c r="AU12" s="153" t="str">
        <f t="shared" si="20"/>
        <v/>
      </c>
      <c r="AV12" s="24" t="str">
        <f t="shared" si="21"/>
        <v/>
      </c>
      <c r="AW12" s="24" t="str">
        <f t="shared" si="22"/>
        <v/>
      </c>
      <c r="AX12" s="349" t="str">
        <f t="shared" si="23"/>
        <v/>
      </c>
      <c r="AY12" s="350"/>
      <c r="AZ12" s="341" t="str">
        <f t="shared" si="24"/>
        <v/>
      </c>
      <c r="BA12" s="348"/>
      <c r="BB12" s="359" t="str">
        <f>IF(ISERROR(VLOOKUP($B12&amp;$AW$4&amp;BB$5,【進行】結果入力表!$Q$7:$V$150,2,FALSE)),"",VLOOKUP($B12&amp;$AW$4&amp;BB$5,【進行】結果入力表!$Q$7:$V$150,2,FALSE))</f>
        <v/>
      </c>
      <c r="BC12" s="342"/>
      <c r="BD12" s="153" t="str">
        <f t="shared" si="25"/>
        <v/>
      </c>
      <c r="BE12" s="153" t="str">
        <f t="shared" si="26"/>
        <v/>
      </c>
      <c r="BF12" s="24" t="str">
        <f t="shared" si="27"/>
        <v/>
      </c>
      <c r="BG12" s="24" t="str">
        <f t="shared" si="28"/>
        <v/>
      </c>
      <c r="BH12" s="349" t="str">
        <f t="shared" si="29"/>
        <v/>
      </c>
      <c r="BI12" s="350"/>
      <c r="BJ12" s="341" t="str">
        <f t="shared" si="30"/>
        <v/>
      </c>
      <c r="BK12" s="342"/>
      <c r="BL12" s="88" t="str">
        <f t="shared" si="41"/>
        <v/>
      </c>
      <c r="BM12" s="248" t="str">
        <f>IF(ISERROR(VLOOKUP($B12&amp;$I$4&amp;F$5,【進行】結果入力表!$Q$7:$V$150,3,FALSE)),"",VLOOKUP($B12&amp;$I$4&amp;F$5,【進行】結果入力表!$Q$7:$V$150,3,FALSE))</f>
        <v/>
      </c>
      <c r="BN12" s="249" t="str">
        <f>IF(ISERROR(VLOOKUP($B12&amp;$I$4&amp;N$5,【進行】結果入力表!$Q$7:$V$150,3,FALSE)),"",VLOOKUP($B12&amp;$I$4&amp;N$5,【進行】結果入力表!$Q$7:$V$150,3,FALSE))</f>
        <v/>
      </c>
      <c r="BO12" s="249" t="str">
        <f>IF(ISERROR(VLOOKUP($B12&amp;$AC$4&amp;X$5,【進行】結果入力表!$Q$7:$V$150,3,FALSE)),"",VLOOKUP($B12&amp;$AC$4&amp;X$5,【進行】結果入力表!$Q$7:$V$150,3,FALSE))</f>
        <v/>
      </c>
      <c r="BP12" s="249" t="str">
        <f>IF(ISERROR(VLOOKUP($B12&amp;$AC$4&amp;AH$5,【進行】結果入力表!$Q$7:$V$150,3,FALSE)),"",VLOOKUP($B12&amp;$AC$4&amp;AH$5,【進行】結果入力表!$Q$7:$V$150,3,FALSE))</f>
        <v/>
      </c>
      <c r="BQ12" s="249" t="str">
        <f>IF(ISERROR(VLOOKUP($B12&amp;$AW$4&amp;AR$5,【進行】結果入力表!$Q$7:$V$150,3,FALSE)),"",VLOOKUP($B12&amp;$AW$4&amp;AR$5,【進行】結果入力表!$Q$7:$V$150,3,FALSE))</f>
        <v/>
      </c>
      <c r="BR12" s="250" t="str">
        <f>IF(ISERROR(VLOOKUP($B12&amp;$AW$4&amp;BB$5,【進行】結果入力表!$Q$7:$V$150,3,FALSE)),"",VLOOKUP($B12&amp;$AW$4&amp;BB$5,【進行】結果入力表!$Q$7:$V$150,3,FALSE))</f>
        <v/>
      </c>
      <c r="BS12" s="15"/>
      <c r="BT12" s="254">
        <f t="shared" si="31"/>
        <v>0</v>
      </c>
      <c r="BU12" s="254">
        <f t="shared" si="31"/>
        <v>0</v>
      </c>
      <c r="BV12" s="254">
        <f t="shared" si="32"/>
        <v>0</v>
      </c>
      <c r="BW12" s="254">
        <f t="shared" si="33"/>
        <v>0</v>
      </c>
      <c r="BX12" s="254">
        <f t="shared" si="34"/>
        <v>5</v>
      </c>
      <c r="BY12" s="254" t="str">
        <f t="shared" si="35"/>
        <v/>
      </c>
      <c r="BZ12" s="254" t="str">
        <f t="shared" si="36"/>
        <v>HRC</v>
      </c>
      <c r="CA12" s="254">
        <f t="shared" si="37"/>
        <v>0</v>
      </c>
      <c r="CB12" s="254"/>
      <c r="CC12" s="63" t="str">
        <f>IF(B12="","",COUNTIF(F12:BC12,"w"))</f>
        <v/>
      </c>
      <c r="CD12" s="59" t="str">
        <f>IF(B12="","",COUNT(F12,N12,AH12,X12,AR12,BB12))</f>
        <v/>
      </c>
      <c r="CE12" s="237" t="str">
        <f>IF(CC12="","",CC12*180+SUM(F12,N12,AH12,X12,AR12,BB12)*180/E12)</f>
        <v/>
      </c>
      <c r="CF12" s="64" t="str">
        <f>IF(B12="","",CC12*100000+CE12)</f>
        <v/>
      </c>
      <c r="CG12" s="15"/>
      <c r="CH12" s="15"/>
      <c r="CI12" s="161"/>
      <c r="CJ12" s="161"/>
      <c r="CK12" s="161"/>
      <c r="CL12" s="161"/>
      <c r="CM12" s="161"/>
      <c r="CS12" s="8">
        <f t="shared" si="42"/>
        <v>0</v>
      </c>
    </row>
    <row r="13" spans="1:97" ht="15" customHeight="1">
      <c r="A13" s="382"/>
      <c r="B13" s="393" t="str">
        <f>IF(【準備】登録!AK28=0,"",【準備】登録!AK28)</f>
        <v/>
      </c>
      <c r="C13" s="394"/>
      <c r="D13" s="395"/>
      <c r="E13" s="99" t="str">
        <f>IF(【準備】登録!$Y$11="","",【準備】登録!AA11)</f>
        <v/>
      </c>
      <c r="F13" s="372" t="str">
        <f>IF(ISERROR(VLOOKUP($B13&amp;$I$4&amp;F$5,【進行】結果入力表!$Q$7:$V$150,2,FALSE)),"",VLOOKUP($B13&amp;$I$4&amp;F$5,【進行】結果入力表!$Q$7:$V$150,2,FALSE))</f>
        <v/>
      </c>
      <c r="G13" s="344"/>
      <c r="H13" s="25" t="str">
        <f t="shared" si="0"/>
        <v/>
      </c>
      <c r="I13" s="25" t="str">
        <f t="shared" si="1"/>
        <v/>
      </c>
      <c r="J13" s="368" t="str">
        <f t="shared" si="38"/>
        <v/>
      </c>
      <c r="K13" s="369"/>
      <c r="L13" s="343" t="str">
        <f t="shared" si="2"/>
        <v/>
      </c>
      <c r="M13" s="373"/>
      <c r="N13" s="372" t="str">
        <f>IF(ISERROR(VLOOKUP($B13&amp;$I$4&amp;N$5,【進行】結果入力表!$Q$7:$V$150,2,FALSE)),"",VLOOKUP($B13&amp;$I$4&amp;N$5,【進行】結果入力表!$Q$7:$V$150,2,FALSE))</f>
        <v/>
      </c>
      <c r="O13" s="344"/>
      <c r="P13" s="154" t="str">
        <f t="shared" si="3"/>
        <v/>
      </c>
      <c r="Q13" s="154" t="str">
        <f t="shared" si="4"/>
        <v/>
      </c>
      <c r="R13" s="25" t="str">
        <f t="shared" si="5"/>
        <v/>
      </c>
      <c r="S13" s="25" t="str">
        <f t="shared" si="6"/>
        <v/>
      </c>
      <c r="T13" s="368" t="str">
        <f t="shared" si="39"/>
        <v/>
      </c>
      <c r="U13" s="369"/>
      <c r="V13" s="343" t="str">
        <f t="shared" si="40"/>
        <v/>
      </c>
      <c r="W13" s="373"/>
      <c r="X13" s="372" t="str">
        <f>IF(ISERROR(VLOOKUP($B13&amp;$AC$4&amp;X$5,【進行】結果入力表!$Q$7:$V$150,2,FALSE)),"",VLOOKUP($B13&amp;$AC$4&amp;X$5,【進行】結果入力表!$Q$7:$V$150,2,FALSE))</f>
        <v/>
      </c>
      <c r="Y13" s="344"/>
      <c r="Z13" s="154" t="str">
        <f t="shared" si="7"/>
        <v/>
      </c>
      <c r="AA13" s="154" t="str">
        <f t="shared" si="8"/>
        <v/>
      </c>
      <c r="AB13" s="25" t="str">
        <f t="shared" si="9"/>
        <v/>
      </c>
      <c r="AC13" s="25" t="str">
        <f t="shared" si="10"/>
        <v/>
      </c>
      <c r="AD13" s="368" t="str">
        <f t="shared" si="11"/>
        <v/>
      </c>
      <c r="AE13" s="369"/>
      <c r="AF13" s="343" t="str">
        <f t="shared" si="12"/>
        <v/>
      </c>
      <c r="AG13" s="373"/>
      <c r="AH13" s="372" t="str">
        <f>IF(ISERROR(VLOOKUP($B13&amp;$AC$4&amp;AH$5,【進行】結果入力表!$Q$7:$V$150,2,FALSE)),"",VLOOKUP($B13&amp;$AC$4&amp;AH$5,【進行】結果入力表!$Q$7:$V$150,2,FALSE))</f>
        <v/>
      </c>
      <c r="AI13" s="344"/>
      <c r="AJ13" s="154" t="str">
        <f t="shared" si="13"/>
        <v/>
      </c>
      <c r="AK13" s="154" t="str">
        <f t="shared" si="14"/>
        <v/>
      </c>
      <c r="AL13" s="25" t="str">
        <f t="shared" si="15"/>
        <v/>
      </c>
      <c r="AM13" s="25" t="str">
        <f t="shared" si="16"/>
        <v/>
      </c>
      <c r="AN13" s="368" t="str">
        <f t="shared" si="17"/>
        <v/>
      </c>
      <c r="AO13" s="369"/>
      <c r="AP13" s="343" t="str">
        <f t="shared" si="18"/>
        <v/>
      </c>
      <c r="AQ13" s="373"/>
      <c r="AR13" s="372" t="str">
        <f>IF(ISERROR(VLOOKUP($B13&amp;$AW$4&amp;AR$5,【進行】結果入力表!$Q$7:$V$150,2,FALSE)),"",VLOOKUP($B13&amp;$AW$4&amp;AR$5,【進行】結果入力表!$Q$7:$V$150,2,FALSE))</f>
        <v/>
      </c>
      <c r="AS13" s="344"/>
      <c r="AT13" s="154" t="str">
        <f t="shared" si="19"/>
        <v/>
      </c>
      <c r="AU13" s="154" t="str">
        <f t="shared" si="20"/>
        <v/>
      </c>
      <c r="AV13" s="25" t="str">
        <f t="shared" si="21"/>
        <v/>
      </c>
      <c r="AW13" s="25" t="str">
        <f t="shared" si="22"/>
        <v/>
      </c>
      <c r="AX13" s="368" t="str">
        <f t="shared" si="23"/>
        <v/>
      </c>
      <c r="AY13" s="369"/>
      <c r="AZ13" s="343" t="str">
        <f t="shared" si="24"/>
        <v/>
      </c>
      <c r="BA13" s="347"/>
      <c r="BB13" s="372" t="str">
        <f>IF(ISERROR(VLOOKUP($B13&amp;$AW$4&amp;BB$5,【進行】結果入力表!$Q$7:$V$150,2,FALSE)),"",VLOOKUP($B13&amp;$AW$4&amp;BB$5,【進行】結果入力表!$Q$7:$V$150,2,FALSE))</f>
        <v/>
      </c>
      <c r="BC13" s="344"/>
      <c r="BD13" s="154" t="str">
        <f t="shared" si="25"/>
        <v/>
      </c>
      <c r="BE13" s="154" t="str">
        <f t="shared" si="26"/>
        <v/>
      </c>
      <c r="BF13" s="25" t="str">
        <f t="shared" si="27"/>
        <v/>
      </c>
      <c r="BG13" s="25" t="str">
        <f t="shared" si="28"/>
        <v/>
      </c>
      <c r="BH13" s="368" t="str">
        <f t="shared" si="29"/>
        <v/>
      </c>
      <c r="BI13" s="369"/>
      <c r="BJ13" s="343" t="str">
        <f t="shared" si="30"/>
        <v/>
      </c>
      <c r="BK13" s="344"/>
      <c r="BL13" s="16" t="str">
        <f t="shared" si="41"/>
        <v/>
      </c>
      <c r="BM13" s="251" t="str">
        <f>IF(ISERROR(VLOOKUP($B13&amp;$I$4&amp;F$5,【進行】結果入力表!$Q$7:$V$150,3,FALSE)),"",VLOOKUP($B13&amp;$I$4&amp;F$5,【進行】結果入力表!$Q$7:$V$150,3,FALSE))</f>
        <v/>
      </c>
      <c r="BN13" s="252" t="str">
        <f>IF(ISERROR(VLOOKUP($B13&amp;$I$4&amp;N$5,【進行】結果入力表!$Q$7:$V$150,3,FALSE)),"",VLOOKUP($B13&amp;$I$4&amp;N$5,【進行】結果入力表!$Q$7:$V$150,3,FALSE))</f>
        <v/>
      </c>
      <c r="BO13" s="252" t="str">
        <f>IF(ISERROR(VLOOKUP($B13&amp;$AC$4&amp;X$5,【進行】結果入力表!$Q$7:$V$150,3,FALSE)),"",VLOOKUP($B13&amp;$AC$4&amp;X$5,【進行】結果入力表!$Q$7:$V$150,3,FALSE))</f>
        <v/>
      </c>
      <c r="BP13" s="252" t="str">
        <f>IF(ISERROR(VLOOKUP($B13&amp;$AC$4&amp;AH$5,【進行】結果入力表!$Q$7:$V$150,3,FALSE)),"",VLOOKUP($B13&amp;$AC$4&amp;AH$5,【進行】結果入力表!$Q$7:$V$150,3,FALSE))</f>
        <v/>
      </c>
      <c r="BQ13" s="252" t="str">
        <f>IF(ISERROR(VLOOKUP($B13&amp;$AW$4&amp;AR$5,【進行】結果入力表!$Q$7:$V$150,3,FALSE)),"",VLOOKUP($B13&amp;$AW$4&amp;AR$5,【進行】結果入力表!$Q$7:$V$150,3,FALSE))</f>
        <v/>
      </c>
      <c r="BR13" s="253" t="str">
        <f>IF(ISERROR(VLOOKUP($B13&amp;$AW$4&amp;BB$5,【進行】結果入力表!$Q$7:$V$150,3,FALSE)),"",VLOOKUP($B13&amp;$AW$4&amp;BB$5,【進行】結果入力表!$Q$7:$V$150,3,FALSE))</f>
        <v/>
      </c>
      <c r="BS13" s="15"/>
      <c r="BT13" s="254">
        <f t="shared" si="31"/>
        <v>0</v>
      </c>
      <c r="BU13" s="254">
        <f t="shared" si="31"/>
        <v>0</v>
      </c>
      <c r="BV13" s="254">
        <f t="shared" si="32"/>
        <v>0</v>
      </c>
      <c r="BW13" s="254">
        <f t="shared" si="33"/>
        <v>0</v>
      </c>
      <c r="BX13" s="254">
        <f t="shared" si="34"/>
        <v>5</v>
      </c>
      <c r="BY13" s="254" t="str">
        <f t="shared" si="35"/>
        <v/>
      </c>
      <c r="BZ13" s="254" t="str">
        <f t="shared" si="36"/>
        <v>HRC</v>
      </c>
      <c r="CA13" s="254">
        <f t="shared" si="37"/>
        <v>0</v>
      </c>
      <c r="CB13" s="254"/>
      <c r="CC13" s="68" t="str">
        <f>IF(B13="","",COUNTIF(F13:BC13,"w"))</f>
        <v/>
      </c>
      <c r="CD13" s="69" t="str">
        <f>IF(B13="","",COUNT(F13,N13,AH13,X13,AR13,BB13))</f>
        <v/>
      </c>
      <c r="CE13" s="238" t="str">
        <f>IF(CC13="","",CC13*180+SUM(F13,N13,AH13,X13,AR13,BB13)*180/E13)</f>
        <v/>
      </c>
      <c r="CF13" s="70" t="str">
        <f>IF(B13="","",CC13*100000+CE13)</f>
        <v/>
      </c>
      <c r="CG13" s="15"/>
      <c r="CH13" s="15"/>
      <c r="CI13" s="161"/>
      <c r="CJ13" s="161"/>
      <c r="CK13" s="161"/>
      <c r="CL13" s="161"/>
      <c r="CM13" s="161"/>
      <c r="CS13" s="8">
        <f>SUM(CM13:CR13)</f>
        <v>0</v>
      </c>
    </row>
    <row r="14" spans="1:97" ht="17.25" customHeight="1">
      <c r="A14" s="383"/>
      <c r="B14" s="390" t="s">
        <v>61</v>
      </c>
      <c r="C14" s="391"/>
      <c r="D14" s="392"/>
      <c r="E14" s="100"/>
      <c r="F14" s="364"/>
      <c r="G14" s="346"/>
      <c r="H14" s="27">
        <f>IF(COUNTBLANK(H6:H13)=8,"",SUM(H6:H13))</f>
        <v>3</v>
      </c>
      <c r="I14" s="27">
        <f>IF(COUNTBLANK(I6:I13)=8,"",SUM(I6:I13))</f>
        <v>3</v>
      </c>
      <c r="J14" s="365">
        <f>IF($B6="","",SUM(J6:J13))</f>
        <v>753</v>
      </c>
      <c r="K14" s="366">
        <f>IF($B6="","",SUM(K6:K13))</f>
        <v>0</v>
      </c>
      <c r="L14" s="345">
        <f>IF(COUNTBLANK(L6:L13)=8,"",SUM(L6:L13))</f>
        <v>792.71428571428578</v>
      </c>
      <c r="M14" s="360">
        <f>IF($B6="","",SUM(M6:M13))</f>
        <v>0</v>
      </c>
      <c r="N14" s="364"/>
      <c r="O14" s="346"/>
      <c r="P14" s="155">
        <f>SUM(P6:P13)</f>
        <v>3</v>
      </c>
      <c r="Q14" s="155">
        <f>SUM(Q6:Q13)</f>
        <v>3</v>
      </c>
      <c r="R14" s="27">
        <f>IF(COUNTBLANK(R6:R13)=8,"",SUM(H14,P14))</f>
        <v>6</v>
      </c>
      <c r="S14" s="27">
        <f>IF(COUNTBLANK(S6:S13)=8,"",SUM(I14,Q14))</f>
        <v>6</v>
      </c>
      <c r="T14" s="365">
        <f>IF($B6="","",SUM(T6:T13))</f>
        <v>1640</v>
      </c>
      <c r="U14" s="366">
        <f>IF($B6="","",SUM(U6:U13))</f>
        <v>0</v>
      </c>
      <c r="V14" s="345">
        <f>IF(COUNTBLANK(V6:V13)=8,"",SUM(V6:V13))</f>
        <v>1719.7142857142858</v>
      </c>
      <c r="W14" s="360">
        <f>IF($B6="","",SUM(W6:W13))</f>
        <v>0</v>
      </c>
      <c r="X14" s="364"/>
      <c r="Y14" s="346"/>
      <c r="Z14" s="155">
        <f>SUM(Z6:Z13)</f>
        <v>2</v>
      </c>
      <c r="AA14" s="155">
        <f>SUM(AA6:AA13)</f>
        <v>4</v>
      </c>
      <c r="AB14" s="27">
        <f>IF(COUNTBLANK(AB6:AB13)=8,"",SUM(R14,Z14))</f>
        <v>8</v>
      </c>
      <c r="AC14" s="27">
        <f>IF(COUNTBLANK(AC6:AC13)=8,"",SUM(S14,AA14))</f>
        <v>10</v>
      </c>
      <c r="AD14" s="365">
        <f>IF($B6="","",SUM(AD6:AD13))</f>
        <v>2344</v>
      </c>
      <c r="AE14" s="366">
        <f>IF($B6="","",SUM(AE6:AE13))</f>
        <v>0</v>
      </c>
      <c r="AF14" s="345">
        <f>IF(COUNTBLANK(AF6:AF13)=8,"",SUM(AF6:AF13))</f>
        <v>2438.5714285714284</v>
      </c>
      <c r="AG14" s="360">
        <f>IF($B6="","",SUM(AG6:AG13))</f>
        <v>0</v>
      </c>
      <c r="AH14" s="364"/>
      <c r="AI14" s="346"/>
      <c r="AJ14" s="155">
        <f>SUM(AJ6:AJ13)</f>
        <v>4</v>
      </c>
      <c r="AK14" s="155">
        <f>SUM(AK6:AK13)</f>
        <v>2</v>
      </c>
      <c r="AL14" s="27">
        <f>IF(COUNTBLANK(AL6:AL13)=8,"",SUM(AB14,AJ14))</f>
        <v>12</v>
      </c>
      <c r="AM14" s="27">
        <f>IF(COUNTBLANK(AM6:AM13)=8,"",SUM(AC14,AK14))</f>
        <v>12</v>
      </c>
      <c r="AN14" s="365">
        <f>IF($B6="","",SUM(AN6:AN13))</f>
        <v>3328</v>
      </c>
      <c r="AO14" s="366">
        <f>IF($B6="","",SUM(AO6:AO13))</f>
        <v>0</v>
      </c>
      <c r="AP14" s="345">
        <f>IF(COUNTBLANK(AP6:AP13)=8,"",SUM(AP6:AP13))</f>
        <v>3462.5714285714284</v>
      </c>
      <c r="AQ14" s="360">
        <f>IF($B6="","",SUM(AQ6:AQ13))</f>
        <v>0</v>
      </c>
      <c r="AR14" s="364"/>
      <c r="AS14" s="346"/>
      <c r="AT14" s="155">
        <f>SUM(AT6:AT13)</f>
        <v>2</v>
      </c>
      <c r="AU14" s="155">
        <f>SUM(AU6:AU13)</f>
        <v>4</v>
      </c>
      <c r="AV14" s="27">
        <f>IF(COUNTBLANK(AV6:AV13)=8,"",SUM(AL14,AT14))</f>
        <v>14</v>
      </c>
      <c r="AW14" s="27">
        <f>IF(COUNTBLANK(AW6:AW13)=8,"",SUM(AM14,AU14))</f>
        <v>16</v>
      </c>
      <c r="AX14" s="365">
        <f>IF($B6="","",SUM(AX6:AX13))</f>
        <v>4083</v>
      </c>
      <c r="AY14" s="366">
        <f>IF($B6="","",SUM(AY6:AY13))</f>
        <v>0</v>
      </c>
      <c r="AZ14" s="345">
        <f>IF(COUNTBLANK(AZ6:AZ13)=8,"",SUM(AZ6:AZ13))</f>
        <v>4241.8571428571431</v>
      </c>
      <c r="BA14" s="360">
        <f>IF($B6="","",SUM(BA6:BA13))</f>
        <v>0</v>
      </c>
      <c r="BB14" s="364"/>
      <c r="BC14" s="346"/>
      <c r="BD14" s="155">
        <f>SUM(BD6:BD13)</f>
        <v>5</v>
      </c>
      <c r="BE14" s="155">
        <f>SUM(BE6:BE13)</f>
        <v>1</v>
      </c>
      <c r="BF14" s="27">
        <f>IF(COUNTBLANK(BF6:BF13)=8,"",SUM(AV14,BD14))</f>
        <v>19</v>
      </c>
      <c r="BG14" s="27">
        <f>IF(COUNTBLANK(BG6:BG13)=8,"",SUM(AW14,BE14))</f>
        <v>17</v>
      </c>
      <c r="BH14" s="365">
        <f>IF(COUNTIF(BH6:BI13,"")=16,"",SUM(BH6:BH13))</f>
        <v>5091</v>
      </c>
      <c r="BI14" s="366">
        <f>IF($B6="","",SUM(BI6:BI13))</f>
        <v>0</v>
      </c>
      <c r="BJ14" s="345">
        <f>IF(COUNTBLANK(BJ6:BJ13)=8,"",SUM(BJ6:BJ13))</f>
        <v>5289.8571428571431</v>
      </c>
      <c r="BK14" s="346">
        <f>IF($B6="","",SUM(BK6:BK13))</f>
        <v>0</v>
      </c>
      <c r="BL14" s="28"/>
      <c r="BM14" s="29"/>
      <c r="BN14" s="30"/>
      <c r="BO14" s="30"/>
      <c r="BP14" s="30"/>
      <c r="BQ14" s="30"/>
      <c r="BR14" s="31"/>
      <c r="BS14" s="15"/>
      <c r="BT14" s="254"/>
      <c r="BU14" s="254"/>
      <c r="BV14" s="254"/>
      <c r="BW14" s="254"/>
      <c r="BX14" s="254"/>
      <c r="BY14" s="254"/>
      <c r="BZ14" s="254"/>
      <c r="CA14" s="254"/>
      <c r="CB14" s="254"/>
      <c r="CC14" s="65">
        <f>SUM(CC6:CC13)</f>
        <v>19</v>
      </c>
      <c r="CD14" s="66">
        <f>SUM(CD6:CD13)</f>
        <v>17</v>
      </c>
      <c r="CE14" s="66">
        <f>SUM(CE6:CE13)</f>
        <v>5289.8571428571431</v>
      </c>
      <c r="CF14" s="67">
        <f>SUM(CF6:CF13)</f>
        <v>1905289.8571428573</v>
      </c>
      <c r="CG14" s="15"/>
      <c r="CH14" s="15"/>
    </row>
    <row r="15" spans="1:97" ht="17.25" customHeight="1">
      <c r="A15" s="381" t="str">
        <f>IF(【準備】登録!B12="","",【準備】登録!B12)</f>
        <v>SBC</v>
      </c>
      <c r="B15" s="384" t="str">
        <f>B5</f>
        <v>選手名</v>
      </c>
      <c r="C15" s="385"/>
      <c r="D15" s="386"/>
      <c r="E15" s="96" t="str">
        <f>E5</f>
        <v>持点</v>
      </c>
      <c r="F15" s="396" t="str">
        <f>A5</f>
        <v>HRC</v>
      </c>
      <c r="G15" s="362"/>
      <c r="H15" s="20" t="s">
        <v>21</v>
      </c>
      <c r="I15" s="20" t="s">
        <v>47</v>
      </c>
      <c r="J15" s="370" t="s">
        <v>48</v>
      </c>
      <c r="K15" s="371"/>
      <c r="L15" s="361" t="s">
        <v>48</v>
      </c>
      <c r="M15" s="362"/>
      <c r="N15" s="396" t="str">
        <f>A25</f>
        <v>NRC</v>
      </c>
      <c r="O15" s="362"/>
      <c r="P15" s="150" t="s">
        <v>21</v>
      </c>
      <c r="Q15" s="150" t="s">
        <v>47</v>
      </c>
      <c r="R15" s="20" t="s">
        <v>21</v>
      </c>
      <c r="S15" s="20" t="s">
        <v>47</v>
      </c>
      <c r="T15" s="370" t="s">
        <v>48</v>
      </c>
      <c r="U15" s="371"/>
      <c r="V15" s="361" t="s">
        <v>48</v>
      </c>
      <c r="W15" s="362"/>
      <c r="X15" s="396" t="str">
        <f>A5</f>
        <v>HRC</v>
      </c>
      <c r="Y15" s="362"/>
      <c r="Z15" s="150" t="s">
        <v>21</v>
      </c>
      <c r="AA15" s="150" t="s">
        <v>47</v>
      </c>
      <c r="AB15" s="20" t="s">
        <v>21</v>
      </c>
      <c r="AC15" s="20" t="s">
        <v>47</v>
      </c>
      <c r="AD15" s="370" t="s">
        <v>48</v>
      </c>
      <c r="AE15" s="371"/>
      <c r="AF15" s="361" t="s">
        <v>48</v>
      </c>
      <c r="AG15" s="362"/>
      <c r="AH15" s="396" t="str">
        <f>A25</f>
        <v>NRC</v>
      </c>
      <c r="AI15" s="362"/>
      <c r="AJ15" s="150" t="s">
        <v>21</v>
      </c>
      <c r="AK15" s="150" t="s">
        <v>47</v>
      </c>
      <c r="AL15" s="20" t="s">
        <v>21</v>
      </c>
      <c r="AM15" s="20" t="s">
        <v>47</v>
      </c>
      <c r="AN15" s="370" t="s">
        <v>48</v>
      </c>
      <c r="AO15" s="371"/>
      <c r="AP15" s="361" t="s">
        <v>48</v>
      </c>
      <c r="AQ15" s="362"/>
      <c r="AR15" s="396" t="str">
        <f>A5</f>
        <v>HRC</v>
      </c>
      <c r="AS15" s="362"/>
      <c r="AT15" s="150" t="s">
        <v>21</v>
      </c>
      <c r="AU15" s="150" t="s">
        <v>47</v>
      </c>
      <c r="AV15" s="20" t="s">
        <v>21</v>
      </c>
      <c r="AW15" s="20" t="s">
        <v>47</v>
      </c>
      <c r="AX15" s="370" t="s">
        <v>48</v>
      </c>
      <c r="AY15" s="371"/>
      <c r="AZ15" s="361" t="s">
        <v>48</v>
      </c>
      <c r="BA15" s="362"/>
      <c r="BB15" s="396" t="str">
        <f>A25</f>
        <v>NRC</v>
      </c>
      <c r="BC15" s="362"/>
      <c r="BD15" s="150" t="s">
        <v>21</v>
      </c>
      <c r="BE15" s="150" t="s">
        <v>47</v>
      </c>
      <c r="BF15" s="20" t="s">
        <v>21</v>
      </c>
      <c r="BG15" s="20" t="s">
        <v>47</v>
      </c>
      <c r="BH15" s="370" t="s">
        <v>48</v>
      </c>
      <c r="BI15" s="371"/>
      <c r="BJ15" s="361" t="s">
        <v>48</v>
      </c>
      <c r="BK15" s="362"/>
      <c r="BL15" s="21" t="s">
        <v>49</v>
      </c>
      <c r="BM15" s="32" t="str">
        <f t="shared" ref="BM15:BR15" si="43">BM$5</f>
        <v>1G</v>
      </c>
      <c r="BN15" s="33" t="str">
        <f t="shared" si="43"/>
        <v>2G</v>
      </c>
      <c r="BO15" s="33" t="str">
        <f t="shared" si="43"/>
        <v>3G</v>
      </c>
      <c r="BP15" s="33" t="str">
        <f t="shared" si="43"/>
        <v>4G</v>
      </c>
      <c r="BQ15" s="33" t="str">
        <f t="shared" si="43"/>
        <v>5G</v>
      </c>
      <c r="BR15" s="34" t="str">
        <f t="shared" si="43"/>
        <v>6G</v>
      </c>
      <c r="BS15" s="15"/>
      <c r="BT15" s="254"/>
      <c r="BU15" s="254"/>
      <c r="BV15" s="254"/>
      <c r="BW15" s="254"/>
      <c r="BX15" s="254"/>
      <c r="BY15" s="254"/>
      <c r="BZ15" s="254"/>
      <c r="CA15" s="254"/>
      <c r="CB15" s="254"/>
      <c r="CC15" s="60" t="str">
        <f>CC$5</f>
        <v>W</v>
      </c>
      <c r="CD15" s="61" t="str">
        <f>CD$5</f>
        <v>L</v>
      </c>
      <c r="CE15" s="61" t="str">
        <f>CE$5</f>
        <v>TP</v>
      </c>
      <c r="CF15" s="62" t="str">
        <f>CF$5</f>
        <v>R_P</v>
      </c>
      <c r="CG15" s="15"/>
      <c r="CH15" s="15"/>
    </row>
    <row r="16" spans="1:97" ht="15" customHeight="1">
      <c r="A16" s="382"/>
      <c r="B16" s="387" t="str">
        <f>IF(【準備】登録!AK13=0,"",【準備】登録!AK13)</f>
        <v>大橋正寛</v>
      </c>
      <c r="C16" s="388"/>
      <c r="D16" s="389"/>
      <c r="E16" s="97">
        <f>【準備】登録!F12</f>
        <v>180</v>
      </c>
      <c r="F16" s="358" t="str">
        <f>IF(ISERROR(VLOOKUP($B16&amp;$I$4&amp;F$15,【進行】結果入力表!$Q$7:$V$150,2,FALSE)),"",VLOOKUP($B16&amp;$I$4&amp;F$15,【進行】結果入力表!$Q$7:$V$150,2,FALSE))</f>
        <v>w</v>
      </c>
      <c r="G16" s="352"/>
      <c r="H16" s="22">
        <f t="shared" ref="H16:H23" si="44">IF(F16="","",IF(F16="w",1,0))</f>
        <v>1</v>
      </c>
      <c r="I16" s="22">
        <f t="shared" ref="I16:I23" si="45">IF(F16="","",IF(F16="w",0,1))</f>
        <v>0</v>
      </c>
      <c r="J16" s="356">
        <f t="shared" ref="J16:J23" si="46">IF(F16="","",IF(F16="w",E16,F16))</f>
        <v>180</v>
      </c>
      <c r="K16" s="357"/>
      <c r="L16" s="351">
        <f t="shared" ref="L16:L23" si="47">IF($F16="","",J16/$E16*180)</f>
        <v>180</v>
      </c>
      <c r="M16" s="367"/>
      <c r="N16" s="358" t="str">
        <f>IF(ISERROR(VLOOKUP($B16&amp;$I$4&amp;N$15,【進行】結果入力表!$Q$7:$V$150,2,FALSE)),"",VLOOKUP($B16&amp;$I$4&amp;N$15,【進行】結果入力表!$Q$7:$V$150,2,FALSE))</f>
        <v>w</v>
      </c>
      <c r="O16" s="352"/>
      <c r="P16" s="151">
        <f t="shared" ref="P16:P23" si="48">IF(N16="","",IF(N16="w",1,0))</f>
        <v>1</v>
      </c>
      <c r="Q16" s="151">
        <f t="shared" ref="Q16:Q23" si="49">IF(N16="","",IF(N16="w",0,1))</f>
        <v>0</v>
      </c>
      <c r="R16" s="22">
        <f t="shared" ref="R16:R23" si="50">IF(N16="","",SUM(H16,P16))</f>
        <v>2</v>
      </c>
      <c r="S16" s="22">
        <f t="shared" ref="S16:S23" si="51">IF(N16="","",SUM(I16,Q16))</f>
        <v>0</v>
      </c>
      <c r="T16" s="356">
        <f t="shared" ref="T16:T23" si="52">IF(N16="","",IF(N16="w",E16+J16,N16+J16))</f>
        <v>360</v>
      </c>
      <c r="U16" s="357"/>
      <c r="V16" s="351">
        <f t="shared" ref="V16:V23" si="53">IF($N16="","",T16/$E16*180)</f>
        <v>360</v>
      </c>
      <c r="W16" s="367"/>
      <c r="X16" s="358" t="str">
        <f>IF(ISERROR(VLOOKUP($B16&amp;$AC$4&amp;X$15,【進行】結果入力表!$Q$7:$V$150,2,FALSE)),"",VLOOKUP($B16&amp;$AC$4&amp;X$15,【進行】結果入力表!$Q$7:$V$150,2,FALSE))</f>
        <v>w</v>
      </c>
      <c r="Y16" s="352"/>
      <c r="Z16" s="151">
        <f t="shared" ref="Z16:Z23" si="54">IF(X16="","",IF(X16="w",1,0))</f>
        <v>1</v>
      </c>
      <c r="AA16" s="151">
        <f t="shared" ref="AA16:AA23" si="55">IF(X16="","",IF(X16="w",0,1))</f>
        <v>0</v>
      </c>
      <c r="AB16" s="22">
        <f t="shared" ref="AB16:AB23" si="56">IF(X16="","",SUM(R16,Z16))</f>
        <v>3</v>
      </c>
      <c r="AC16" s="22">
        <f t="shared" ref="AC16:AC23" si="57">IF(X16="","",SUM(S16,AA16))</f>
        <v>0</v>
      </c>
      <c r="AD16" s="356">
        <f t="shared" ref="AD16:AD23" si="58">IF(X16="","",IF(X16="w",T16+E16,X16+T16))</f>
        <v>540</v>
      </c>
      <c r="AE16" s="357"/>
      <c r="AF16" s="351">
        <f t="shared" ref="AF16:AF23" si="59">IF($X16="","",AD16/$E16*180)</f>
        <v>540</v>
      </c>
      <c r="AG16" s="367"/>
      <c r="AH16" s="358" t="str">
        <f>IF(ISERROR(VLOOKUP($B16&amp;$AC$4&amp;AH$15,【進行】結果入力表!$Q$7:$V$150,2,FALSE)),"",VLOOKUP($B16&amp;$AC$4&amp;AH$15,【進行】結果入力表!$Q$7:$V$150,2,FALSE))</f>
        <v>w</v>
      </c>
      <c r="AI16" s="352"/>
      <c r="AJ16" s="151">
        <f t="shared" ref="AJ16:AJ23" si="60">IF(AH16="","",IF(AH16="w",1,0))</f>
        <v>1</v>
      </c>
      <c r="AK16" s="151">
        <f t="shared" ref="AK16:AK23" si="61">IF(AH16="","",IF(AH16="w",0,1))</f>
        <v>0</v>
      </c>
      <c r="AL16" s="22">
        <f t="shared" ref="AL16:AL23" si="62">IF(AH16="","",SUM(AB16,AJ16))</f>
        <v>4</v>
      </c>
      <c r="AM16" s="22">
        <f t="shared" ref="AM16:AM23" si="63">IF(AH16="","",SUM(AC16,AK16))</f>
        <v>0</v>
      </c>
      <c r="AN16" s="356">
        <f t="shared" ref="AN16:AN23" si="64">IF(AH16="","",IF(AH16="w",AD16+E16,AH16+AD16))</f>
        <v>720</v>
      </c>
      <c r="AO16" s="357"/>
      <c r="AP16" s="351">
        <f t="shared" ref="AP16:AP23" si="65">IF($AH16="","",AN16/$E16*180)</f>
        <v>720</v>
      </c>
      <c r="AQ16" s="367"/>
      <c r="AR16" s="358" t="str">
        <f>IF(ISERROR(VLOOKUP($B16&amp;$AW$4&amp;AR$15,【進行】結果入力表!$Q$7:$V$150,2,FALSE)),"",VLOOKUP($B16&amp;$AW$4&amp;AR$15,【進行】結果入力表!$Q$7:$V$150,2,FALSE))</f>
        <v>w</v>
      </c>
      <c r="AS16" s="352"/>
      <c r="AT16" s="151">
        <f t="shared" ref="AT16:AT23" si="66">IF(AR16="","",IF(AR16="w",1,0))</f>
        <v>1</v>
      </c>
      <c r="AU16" s="151">
        <f t="shared" ref="AU16:AU23" si="67">IF(AR16="","",IF(AR16="w",0,1))</f>
        <v>0</v>
      </c>
      <c r="AV16" s="22">
        <f t="shared" ref="AV16:AV23" si="68">IF(AR16="","",IF(AR16="w",AL16+1,AL16))</f>
        <v>5</v>
      </c>
      <c r="AW16" s="22">
        <f t="shared" ref="AW16:AW23" si="69">IF(AR16="","",IF(AR16="w",AM16,AM16+1))</f>
        <v>0</v>
      </c>
      <c r="AX16" s="356">
        <f t="shared" ref="AX16:AX23" si="70">IF(AR16="","",IF(AR16="w",AN16+E16,AR16+AN16))</f>
        <v>900</v>
      </c>
      <c r="AY16" s="357"/>
      <c r="AZ16" s="351">
        <f t="shared" ref="AZ16:AZ23" si="71">IF($AR16="","",AX16/$E16*180)</f>
        <v>900</v>
      </c>
      <c r="BA16" s="399"/>
      <c r="BB16" s="358">
        <f>IF(ISERROR(VLOOKUP($B16&amp;$AW$4&amp;BB$15,【進行】結果入力表!$Q$7:$V$150,2,FALSE)),"",VLOOKUP($B16&amp;$AW$4&amp;BB$15,【進行】結果入力表!$Q$7:$V$150,2,FALSE))</f>
        <v>58</v>
      </c>
      <c r="BC16" s="352"/>
      <c r="BD16" s="151">
        <f t="shared" ref="BD16:BD23" si="72">IF(BB16="","",IF(BB16="w",1,0))</f>
        <v>0</v>
      </c>
      <c r="BE16" s="151">
        <f t="shared" ref="BE16:BE23" si="73">IF(BB16="","",IF(BB16="w",0,1))</f>
        <v>1</v>
      </c>
      <c r="BF16" s="22">
        <f t="shared" ref="BF16:BF23" si="74">IF(BB16="","",IF(BB16="w",AV16+1,AV16))</f>
        <v>5</v>
      </c>
      <c r="BG16" s="22">
        <f t="shared" ref="BG16:BG23" si="75">IF(BB16="","",IF(BB16="w",AW16,AW16+1))</f>
        <v>1</v>
      </c>
      <c r="BH16" s="356">
        <f t="shared" ref="BH16:BH23" si="76">IF(BB16="","",IF(BB16="w",AX16+E16,BB16+AX16))</f>
        <v>958</v>
      </c>
      <c r="BI16" s="357"/>
      <c r="BJ16" s="351">
        <f t="shared" ref="BJ16:BJ23" si="77">IF($BB16="","",BH16/$E16*180)</f>
        <v>958</v>
      </c>
      <c r="BK16" s="352"/>
      <c r="BL16" s="91">
        <f t="shared" ref="BL16:BL23" si="78">IF(SUM(H16:I16,R16:S16)=0,"",IF(B$13="",RANK($CF$16:$CF$22,$CF$16:$CF$22,0),RANK($CF$16:$CF$23,$CF$16:$CF$23,0)))</f>
        <v>1</v>
      </c>
      <c r="BM16" s="245" t="str">
        <f>IF(ISERROR(VLOOKUP($B16&amp;$I$4&amp;F$15,【進行】結果入力表!$Q$7:$V$150,3,FALSE)),"",VLOOKUP($B16&amp;$I$4&amp;F$15,【進行】結果入力表!$Q$7:$V$150,3,FALSE))</f>
        <v/>
      </c>
      <c r="BN16" s="246" t="str">
        <f>IF(ISERROR(VLOOKUP($B16&amp;$I$4&amp;N$15,【進行】結果入力表!$Q$7:$V$150,3,FALSE)),"",VLOOKUP($B16&amp;$I$4&amp;N$15,【進行】結果入力表!$Q$7:$V$150,3,FALSE))</f>
        <v/>
      </c>
      <c r="BO16" s="246">
        <f>IF(ISERROR(VLOOKUP($B16&amp;$AC$4&amp;X$15,【進行】結果入力表!$Q$7:$V$150,3,FALSE)),"",VLOOKUP($B16&amp;$AC$4&amp;X$15,【進行】結果入力表!$Q$7:$V$150,3,FALSE))</f>
        <v>107</v>
      </c>
      <c r="BP16" s="246" t="str">
        <f>IF(ISERROR(VLOOKUP($B16&amp;$AC$4&amp;AH$15,【進行】結果入力表!$Q$7:$V$150,3,FALSE)),"",VLOOKUP($B16&amp;$AC$4&amp;AH$15,【進行】結果入力表!$Q$7:$V$150,3,FALSE))</f>
        <v/>
      </c>
      <c r="BQ16" s="246" t="str">
        <f>IF(ISERROR(VLOOKUP($B16&amp;$AW$4&amp;AR$15,【進行】結果入力表!$Q$7:$V$150,3,FALSE)),"",VLOOKUP($B16&amp;$AW$4&amp;AR$15,【進行】結果入力表!$Q$7:$V$150,3,FALSE))</f>
        <v/>
      </c>
      <c r="BR16" s="247" t="str">
        <f>IF(ISERROR(VLOOKUP($B16&amp;$AW$4&amp;BB$15,【進行】結果入力表!$Q$7:$V$150,3,FALSE)),"",VLOOKUP($B16&amp;$AW$4&amp;BB$15,【進行】結果入力表!$Q$7:$V$150,3,FALSE))</f>
        <v/>
      </c>
      <c r="BS16" s="15"/>
      <c r="BT16" s="254">
        <f t="shared" ref="BT16:BU23" si="79">COUNTIF($BM16:$BR16,BT$5)</f>
        <v>0</v>
      </c>
      <c r="BU16" s="254">
        <f t="shared" si="79"/>
        <v>0</v>
      </c>
      <c r="BV16" s="254">
        <f t="shared" ref="BV16:BV23" si="80">MAX($BM16:$BR16)</f>
        <v>107</v>
      </c>
      <c r="BW16" s="254">
        <f t="shared" ref="BW16:BW23" si="81">BT16*10000+BU16*1000+BV16</f>
        <v>107</v>
      </c>
      <c r="BX16" s="254">
        <f t="shared" ref="BX16:BX23" si="82">RANK(BW16,$BW$6:$BW$33)</f>
        <v>4</v>
      </c>
      <c r="BY16" s="254" t="str">
        <f t="shared" ref="BY16:BY23" si="83">B16</f>
        <v>大橋正寛</v>
      </c>
      <c r="BZ16" s="254" t="str">
        <f t="shared" ref="BZ16:BZ24" si="84">$A$15</f>
        <v>SBC</v>
      </c>
      <c r="CA16" s="254">
        <f t="shared" ref="CA16:CA23" si="85">IF(BT16&gt;0,"A"&amp;E16,IF(BU16&gt;0,"B"&amp;E16,BV16))</f>
        <v>107</v>
      </c>
      <c r="CB16" s="254"/>
      <c r="CC16" s="63">
        <f>COUNTIF(F16:BC16,"w")</f>
        <v>5</v>
      </c>
      <c r="CD16" s="59">
        <f>COUNT(F16,N16,AH16,X16,AR16,BB16)</f>
        <v>1</v>
      </c>
      <c r="CE16" s="237">
        <f>CC16*180+SUM(F16,N16,AH16,X16,AR16,BB16)*180/E16</f>
        <v>958</v>
      </c>
      <c r="CF16" s="64">
        <f>CC16*100000+CE16</f>
        <v>500958</v>
      </c>
      <c r="CG16" s="15"/>
      <c r="CH16" s="15"/>
      <c r="CS16" s="8">
        <f>SUM(CM16:CR16)</f>
        <v>0</v>
      </c>
    </row>
    <row r="17" spans="1:97" ht="15" customHeight="1">
      <c r="A17" s="382"/>
      <c r="B17" s="378" t="str">
        <f>IF(【準備】登録!AK14=0,"",【準備】登録!AK14)</f>
        <v>長田智紀</v>
      </c>
      <c r="C17" s="379"/>
      <c r="D17" s="380"/>
      <c r="E17" s="98">
        <f>【準備】登録!I12</f>
        <v>180</v>
      </c>
      <c r="F17" s="359">
        <f>IF(ISERROR(VLOOKUP($B17&amp;$I$4&amp;F$15,【進行】結果入力表!$Q$7:$V$150,2,FALSE)),"",VLOOKUP($B17&amp;$I$4&amp;F$15,【進行】結果入力表!$Q$7:$V$150,2,FALSE))</f>
        <v>52</v>
      </c>
      <c r="G17" s="342"/>
      <c r="H17" s="23">
        <f t="shared" si="44"/>
        <v>0</v>
      </c>
      <c r="I17" s="23">
        <f t="shared" si="45"/>
        <v>1</v>
      </c>
      <c r="J17" s="349">
        <f t="shared" si="46"/>
        <v>52</v>
      </c>
      <c r="K17" s="350"/>
      <c r="L17" s="341">
        <f t="shared" si="47"/>
        <v>51.999999999999993</v>
      </c>
      <c r="M17" s="363"/>
      <c r="N17" s="359">
        <f>IF(ISERROR(VLOOKUP($B17&amp;$I$4&amp;N$15,【進行】結果入力表!$Q$7:$V$150,2,FALSE)),"",VLOOKUP($B17&amp;$I$4&amp;N$15,【進行】結果入力表!$Q$7:$V$150,2,FALSE))</f>
        <v>130</v>
      </c>
      <c r="O17" s="342"/>
      <c r="P17" s="152">
        <f t="shared" si="48"/>
        <v>0</v>
      </c>
      <c r="Q17" s="152">
        <f t="shared" si="49"/>
        <v>1</v>
      </c>
      <c r="R17" s="23">
        <f t="shared" si="50"/>
        <v>0</v>
      </c>
      <c r="S17" s="23">
        <f t="shared" si="51"/>
        <v>2</v>
      </c>
      <c r="T17" s="349">
        <f t="shared" si="52"/>
        <v>182</v>
      </c>
      <c r="U17" s="350"/>
      <c r="V17" s="341">
        <f t="shared" si="53"/>
        <v>182</v>
      </c>
      <c r="W17" s="363"/>
      <c r="X17" s="359" t="str">
        <f>IF(ISERROR(VLOOKUP($B17&amp;$AC$4&amp;X$15,【進行】結果入力表!$Q$7:$V$150,2,FALSE)),"",VLOOKUP($B17&amp;$AC$4&amp;X$15,【進行】結果入力表!$Q$7:$V$150,2,FALSE))</f>
        <v>w</v>
      </c>
      <c r="Y17" s="342"/>
      <c r="Z17" s="152">
        <f t="shared" si="54"/>
        <v>1</v>
      </c>
      <c r="AA17" s="152">
        <f t="shared" si="55"/>
        <v>0</v>
      </c>
      <c r="AB17" s="23">
        <f t="shared" si="56"/>
        <v>1</v>
      </c>
      <c r="AC17" s="23">
        <f t="shared" si="57"/>
        <v>2</v>
      </c>
      <c r="AD17" s="349">
        <f t="shared" si="58"/>
        <v>362</v>
      </c>
      <c r="AE17" s="350"/>
      <c r="AF17" s="341">
        <f t="shared" si="59"/>
        <v>362</v>
      </c>
      <c r="AG17" s="363"/>
      <c r="AH17" s="359" t="str">
        <f>IF(ISERROR(VLOOKUP($B17&amp;$AC$4&amp;AH$15,【進行】結果入力表!$Q$7:$V$150,2,FALSE)),"",VLOOKUP($B17&amp;$AC$4&amp;AH$15,【進行】結果入力表!$Q$7:$V$150,2,FALSE))</f>
        <v>w</v>
      </c>
      <c r="AI17" s="342"/>
      <c r="AJ17" s="152">
        <f t="shared" si="60"/>
        <v>1</v>
      </c>
      <c r="AK17" s="152">
        <f t="shared" si="61"/>
        <v>0</v>
      </c>
      <c r="AL17" s="23">
        <f t="shared" si="62"/>
        <v>2</v>
      </c>
      <c r="AM17" s="23">
        <f t="shared" si="63"/>
        <v>2</v>
      </c>
      <c r="AN17" s="349">
        <f t="shared" si="64"/>
        <v>542</v>
      </c>
      <c r="AO17" s="350"/>
      <c r="AP17" s="341">
        <f t="shared" si="65"/>
        <v>542</v>
      </c>
      <c r="AQ17" s="363"/>
      <c r="AR17" s="359" t="str">
        <f>IF(ISERROR(VLOOKUP($B17&amp;$AW$4&amp;AR$15,【進行】結果入力表!$Q$7:$V$150,2,FALSE)),"",VLOOKUP($B17&amp;$AW$4&amp;AR$15,【進行】結果入力表!$Q$7:$V$150,2,FALSE))</f>
        <v>w</v>
      </c>
      <c r="AS17" s="342"/>
      <c r="AT17" s="152">
        <f t="shared" si="66"/>
        <v>1</v>
      </c>
      <c r="AU17" s="152">
        <f t="shared" si="67"/>
        <v>0</v>
      </c>
      <c r="AV17" s="23">
        <f t="shared" si="68"/>
        <v>3</v>
      </c>
      <c r="AW17" s="23">
        <f t="shared" si="69"/>
        <v>2</v>
      </c>
      <c r="AX17" s="349">
        <f t="shared" si="70"/>
        <v>722</v>
      </c>
      <c r="AY17" s="350"/>
      <c r="AZ17" s="341">
        <f t="shared" si="71"/>
        <v>722</v>
      </c>
      <c r="BA17" s="348"/>
      <c r="BB17" s="359" t="str">
        <f>IF(ISERROR(VLOOKUP($B17&amp;$AW$4&amp;BB$15,【進行】結果入力表!$Q$7:$V$150,2,FALSE)),"",VLOOKUP($B17&amp;$AW$4&amp;BB$15,【進行】結果入力表!$Q$7:$V$150,2,FALSE))</f>
        <v>w</v>
      </c>
      <c r="BC17" s="342"/>
      <c r="BD17" s="152">
        <f t="shared" si="72"/>
        <v>1</v>
      </c>
      <c r="BE17" s="152">
        <f t="shared" si="73"/>
        <v>0</v>
      </c>
      <c r="BF17" s="23">
        <f t="shared" si="74"/>
        <v>4</v>
      </c>
      <c r="BG17" s="23">
        <f t="shared" si="75"/>
        <v>2</v>
      </c>
      <c r="BH17" s="349">
        <f t="shared" si="76"/>
        <v>902</v>
      </c>
      <c r="BI17" s="350"/>
      <c r="BJ17" s="341">
        <f t="shared" si="77"/>
        <v>902</v>
      </c>
      <c r="BK17" s="342"/>
      <c r="BL17" s="92">
        <f t="shared" si="78"/>
        <v>3</v>
      </c>
      <c r="BM17" s="248" t="str">
        <f>IF(ISERROR(VLOOKUP($B17&amp;$I$4&amp;F$15,【進行】結果入力表!$Q$7:$V$150,3,FALSE)),"",VLOOKUP($B17&amp;$I$4&amp;F$15,【進行】結果入力表!$Q$7:$V$150,3,FALSE))</f>
        <v/>
      </c>
      <c r="BN17" s="249" t="str">
        <f>IF(ISERROR(VLOOKUP($B17&amp;$I$4&amp;N$15,【進行】結果入力表!$Q$7:$V$150,3,FALSE)),"",VLOOKUP($B17&amp;$I$4&amp;N$15,【進行】結果入力表!$Q$7:$V$150,3,FALSE))</f>
        <v/>
      </c>
      <c r="BO17" s="249" t="str">
        <f>IF(ISERROR(VLOOKUP($B17&amp;$AC$4&amp;X$15,【進行】結果入力表!$Q$7:$V$150,3,FALSE)),"",VLOOKUP($B17&amp;$AC$4&amp;X$15,【進行】結果入力表!$Q$7:$V$150,3,FALSE))</f>
        <v/>
      </c>
      <c r="BP17" s="249" t="str">
        <f>IF(ISERROR(VLOOKUP($B17&amp;$AC$4&amp;AH$15,【進行】結果入力表!$Q$7:$V$150,3,FALSE)),"",VLOOKUP($B17&amp;$AC$4&amp;AH$15,【進行】結果入力表!$Q$7:$V$150,3,FALSE))</f>
        <v/>
      </c>
      <c r="BQ17" s="249" t="str">
        <f>IF(ISERROR(VLOOKUP($B17&amp;$AW$4&amp;AR$15,【進行】結果入力表!$Q$7:$V$150,3,FALSE)),"",VLOOKUP($B17&amp;$AW$4&amp;AR$15,【進行】結果入力表!$Q$7:$V$150,3,FALSE))</f>
        <v/>
      </c>
      <c r="BR17" s="250" t="str">
        <f>IF(ISERROR(VLOOKUP($B17&amp;$AW$4&amp;BB$15,【進行】結果入力表!$Q$7:$V$150,3,FALSE)),"",VLOOKUP($B17&amp;$AW$4&amp;BB$15,【進行】結果入力表!$Q$7:$V$150,3,FALSE))</f>
        <v/>
      </c>
      <c r="BS17" s="15"/>
      <c r="BT17" s="254">
        <f t="shared" si="79"/>
        <v>0</v>
      </c>
      <c r="BU17" s="254">
        <f t="shared" si="79"/>
        <v>0</v>
      </c>
      <c r="BV17" s="254">
        <f t="shared" si="80"/>
        <v>0</v>
      </c>
      <c r="BW17" s="254">
        <f t="shared" si="81"/>
        <v>0</v>
      </c>
      <c r="BX17" s="254">
        <f t="shared" si="82"/>
        <v>5</v>
      </c>
      <c r="BY17" s="254" t="str">
        <f t="shared" si="83"/>
        <v>長田智紀</v>
      </c>
      <c r="BZ17" s="254" t="str">
        <f t="shared" si="84"/>
        <v>SBC</v>
      </c>
      <c r="CA17" s="254">
        <f t="shared" si="85"/>
        <v>0</v>
      </c>
      <c r="CB17" s="254"/>
      <c r="CC17" s="63">
        <f>COUNTIF(F17:BC17,"w")</f>
        <v>4</v>
      </c>
      <c r="CD17" s="59">
        <f>COUNT(F17,N17,AH17,X17,AR17,BB17)</f>
        <v>2</v>
      </c>
      <c r="CE17" s="237">
        <f>CC17*180+SUM(F17,N17,AH17,X17,AR17,BB17)*180/E17</f>
        <v>902</v>
      </c>
      <c r="CF17" s="64">
        <f>CC17*100000+CE17</f>
        <v>400902</v>
      </c>
      <c r="CG17" s="15"/>
      <c r="CH17" s="15"/>
      <c r="CS17" s="8">
        <f t="shared" ref="CS17:CS22" si="86">SUM(CM17:CR17)</f>
        <v>0</v>
      </c>
    </row>
    <row r="18" spans="1:97" ht="15" customHeight="1">
      <c r="A18" s="382"/>
      <c r="B18" s="378" t="str">
        <f>IF(【準備】登録!AK15=0,"",【準備】登録!AK15)</f>
        <v>西峰久祐</v>
      </c>
      <c r="C18" s="379"/>
      <c r="D18" s="380"/>
      <c r="E18" s="98">
        <f>【準備】登録!L12</f>
        <v>180</v>
      </c>
      <c r="F18" s="359">
        <f>IF(ISERROR(VLOOKUP($B18&amp;$I$4&amp;F$15,【進行】結果入力表!$Q$7:$V$150,2,FALSE)),"",VLOOKUP($B18&amp;$I$4&amp;F$15,【進行】結果入力表!$Q$7:$V$150,2,FALSE))</f>
        <v>129</v>
      </c>
      <c r="G18" s="342"/>
      <c r="H18" s="24">
        <f t="shared" si="44"/>
        <v>0</v>
      </c>
      <c r="I18" s="24">
        <f t="shared" si="45"/>
        <v>1</v>
      </c>
      <c r="J18" s="349">
        <f t="shared" si="46"/>
        <v>129</v>
      </c>
      <c r="K18" s="350"/>
      <c r="L18" s="341">
        <f t="shared" si="47"/>
        <v>129</v>
      </c>
      <c r="M18" s="363"/>
      <c r="N18" s="359" t="str">
        <f>IF(ISERROR(VLOOKUP($B18&amp;$I$4&amp;N$15,【進行】結果入力表!$Q$7:$V$150,2,FALSE)),"",VLOOKUP($B18&amp;$I$4&amp;N$15,【進行】結果入力表!$Q$7:$V$150,2,FALSE))</f>
        <v>w</v>
      </c>
      <c r="O18" s="342"/>
      <c r="P18" s="153">
        <f t="shared" si="48"/>
        <v>1</v>
      </c>
      <c r="Q18" s="153">
        <f t="shared" si="49"/>
        <v>0</v>
      </c>
      <c r="R18" s="24">
        <f t="shared" si="50"/>
        <v>1</v>
      </c>
      <c r="S18" s="24">
        <f t="shared" si="51"/>
        <v>1</v>
      </c>
      <c r="T18" s="349">
        <f t="shared" si="52"/>
        <v>309</v>
      </c>
      <c r="U18" s="350"/>
      <c r="V18" s="341">
        <f t="shared" si="53"/>
        <v>309</v>
      </c>
      <c r="W18" s="363"/>
      <c r="X18" s="359" t="str">
        <f>IF(ISERROR(VLOOKUP($B18&amp;$AC$4&amp;X$15,【進行】結果入力表!$Q$7:$V$150,2,FALSE)),"",VLOOKUP($B18&amp;$AC$4&amp;X$15,【進行】結果入力表!$Q$7:$V$150,2,FALSE))</f>
        <v>w</v>
      </c>
      <c r="Y18" s="342"/>
      <c r="Z18" s="153">
        <f t="shared" si="54"/>
        <v>1</v>
      </c>
      <c r="AA18" s="153">
        <f t="shared" si="55"/>
        <v>0</v>
      </c>
      <c r="AB18" s="24">
        <f t="shared" si="56"/>
        <v>2</v>
      </c>
      <c r="AC18" s="24">
        <f t="shared" si="57"/>
        <v>1</v>
      </c>
      <c r="AD18" s="349">
        <f t="shared" si="58"/>
        <v>489</v>
      </c>
      <c r="AE18" s="350"/>
      <c r="AF18" s="341">
        <f t="shared" si="59"/>
        <v>489</v>
      </c>
      <c r="AG18" s="363"/>
      <c r="AH18" s="359" t="str">
        <f>IF(ISERROR(VLOOKUP($B18&amp;$AC$4&amp;AH$15,【進行】結果入力表!$Q$7:$V$150,2,FALSE)),"",VLOOKUP($B18&amp;$AC$4&amp;AH$15,【進行】結果入力表!$Q$7:$V$150,2,FALSE))</f>
        <v>w</v>
      </c>
      <c r="AI18" s="342"/>
      <c r="AJ18" s="153">
        <f t="shared" si="60"/>
        <v>1</v>
      </c>
      <c r="AK18" s="153">
        <f t="shared" si="61"/>
        <v>0</v>
      </c>
      <c r="AL18" s="24">
        <f t="shared" si="62"/>
        <v>3</v>
      </c>
      <c r="AM18" s="24">
        <f t="shared" si="63"/>
        <v>1</v>
      </c>
      <c r="AN18" s="349">
        <f t="shared" si="64"/>
        <v>669</v>
      </c>
      <c r="AO18" s="350"/>
      <c r="AP18" s="341">
        <f t="shared" si="65"/>
        <v>669</v>
      </c>
      <c r="AQ18" s="363"/>
      <c r="AR18" s="359">
        <f>IF(ISERROR(VLOOKUP($B18&amp;$AW$4&amp;AR$15,【進行】結果入力表!$Q$7:$V$150,2,FALSE)),"",VLOOKUP($B18&amp;$AW$4&amp;AR$15,【進行】結果入力表!$Q$7:$V$150,2,FALSE))</f>
        <v>91</v>
      </c>
      <c r="AS18" s="342"/>
      <c r="AT18" s="153">
        <f t="shared" si="66"/>
        <v>0</v>
      </c>
      <c r="AU18" s="153">
        <f t="shared" si="67"/>
        <v>1</v>
      </c>
      <c r="AV18" s="24">
        <f t="shared" si="68"/>
        <v>3</v>
      </c>
      <c r="AW18" s="24">
        <f t="shared" si="69"/>
        <v>2</v>
      </c>
      <c r="AX18" s="349">
        <f t="shared" si="70"/>
        <v>760</v>
      </c>
      <c r="AY18" s="350"/>
      <c r="AZ18" s="341">
        <f t="shared" si="71"/>
        <v>760</v>
      </c>
      <c r="BA18" s="348"/>
      <c r="BB18" s="359" t="str">
        <f>IF(ISERROR(VLOOKUP($B18&amp;$AW$4&amp;BB$15,【進行】結果入力表!$Q$7:$V$150,2,FALSE)),"",VLOOKUP($B18&amp;$AW$4&amp;BB$15,【進行】結果入力表!$Q$7:$V$150,2,FALSE))</f>
        <v>w</v>
      </c>
      <c r="BC18" s="342"/>
      <c r="BD18" s="153">
        <f t="shared" si="72"/>
        <v>1</v>
      </c>
      <c r="BE18" s="153">
        <f t="shared" si="73"/>
        <v>0</v>
      </c>
      <c r="BF18" s="24">
        <f t="shared" si="74"/>
        <v>4</v>
      </c>
      <c r="BG18" s="24">
        <f t="shared" si="75"/>
        <v>2</v>
      </c>
      <c r="BH18" s="349">
        <f t="shared" si="76"/>
        <v>940</v>
      </c>
      <c r="BI18" s="350"/>
      <c r="BJ18" s="341">
        <f t="shared" si="77"/>
        <v>940</v>
      </c>
      <c r="BK18" s="342"/>
      <c r="BL18" s="93">
        <f t="shared" si="78"/>
        <v>2</v>
      </c>
      <c r="BM18" s="248" t="str">
        <f>IF(ISERROR(VLOOKUP($B18&amp;$I$4&amp;F$15,【進行】結果入力表!$Q$7:$V$150,3,FALSE)),"",VLOOKUP($B18&amp;$I$4&amp;F$15,【進行】結果入力表!$Q$7:$V$150,3,FALSE))</f>
        <v/>
      </c>
      <c r="BN18" s="249" t="str">
        <f>IF(ISERROR(VLOOKUP($B18&amp;$I$4&amp;N$15,【進行】結果入力表!$Q$7:$V$150,3,FALSE)),"",VLOOKUP($B18&amp;$I$4&amp;N$15,【進行】結果入力表!$Q$7:$V$150,3,FALSE))</f>
        <v/>
      </c>
      <c r="BO18" s="249" t="str">
        <f>IF(ISERROR(VLOOKUP($B18&amp;$AC$4&amp;X$15,【進行】結果入力表!$Q$7:$V$150,3,FALSE)),"",VLOOKUP($B18&amp;$AC$4&amp;X$15,【進行】結果入力表!$Q$7:$V$150,3,FALSE))</f>
        <v/>
      </c>
      <c r="BP18" s="249" t="str">
        <f>IF(ISERROR(VLOOKUP($B18&amp;$AC$4&amp;AH$15,【進行】結果入力表!$Q$7:$V$150,3,FALSE)),"",VLOOKUP($B18&amp;$AC$4&amp;AH$15,【進行】結果入力表!$Q$7:$V$150,3,FALSE))</f>
        <v/>
      </c>
      <c r="BQ18" s="249" t="str">
        <f>IF(ISERROR(VLOOKUP($B18&amp;$AW$4&amp;AR$15,【進行】結果入力表!$Q$7:$V$150,3,FALSE)),"",VLOOKUP($B18&amp;$AW$4&amp;AR$15,【進行】結果入力表!$Q$7:$V$150,3,FALSE))</f>
        <v/>
      </c>
      <c r="BR18" s="250">
        <f>IF(ISERROR(VLOOKUP($B18&amp;$AW$4&amp;BB$15,【進行】結果入力表!$Q$7:$V$150,3,FALSE)),"",VLOOKUP($B18&amp;$AW$4&amp;BB$15,【進行】結果入力表!$Q$7:$V$150,3,FALSE))</f>
        <v>109</v>
      </c>
      <c r="BS18" s="15"/>
      <c r="BT18" s="254">
        <f t="shared" si="79"/>
        <v>0</v>
      </c>
      <c r="BU18" s="254">
        <f t="shared" si="79"/>
        <v>0</v>
      </c>
      <c r="BV18" s="254">
        <f t="shared" si="80"/>
        <v>109</v>
      </c>
      <c r="BW18" s="254">
        <f t="shared" si="81"/>
        <v>109</v>
      </c>
      <c r="BX18" s="254">
        <f t="shared" si="82"/>
        <v>3</v>
      </c>
      <c r="BY18" s="254" t="str">
        <f t="shared" si="83"/>
        <v>西峰久祐</v>
      </c>
      <c r="BZ18" s="254" t="str">
        <f t="shared" si="84"/>
        <v>SBC</v>
      </c>
      <c r="CA18" s="254">
        <f t="shared" si="85"/>
        <v>109</v>
      </c>
      <c r="CB18" s="254"/>
      <c r="CC18" s="63">
        <f>COUNTIF(F18:BC18,"w")</f>
        <v>4</v>
      </c>
      <c r="CD18" s="59">
        <f>COUNT(F18,N18,AH18,X18,AR18,BB18)</f>
        <v>2</v>
      </c>
      <c r="CE18" s="237">
        <f>CC18*180+SUM(F18,N18,AH18,X18,AR18,BB18)*180/E18</f>
        <v>940</v>
      </c>
      <c r="CF18" s="64">
        <f>CC18*100000+CE18</f>
        <v>400940</v>
      </c>
      <c r="CG18" s="15"/>
      <c r="CH18" s="15"/>
      <c r="CS18" s="8">
        <f t="shared" si="86"/>
        <v>0</v>
      </c>
    </row>
    <row r="19" spans="1:97" ht="15" customHeight="1">
      <c r="A19" s="382"/>
      <c r="B19" s="378" t="str">
        <f>IF(【準備】登録!AK16=0,"",【準備】登録!AK16)</f>
        <v>大橋義治</v>
      </c>
      <c r="C19" s="379"/>
      <c r="D19" s="380"/>
      <c r="E19" s="98">
        <f>【準備】登録!O12</f>
        <v>180</v>
      </c>
      <c r="F19" s="359">
        <f>IF(ISERROR(VLOOKUP($B19&amp;$I$4&amp;F$15,【進行】結果入力表!$Q$7:$V$150,2,FALSE)),"",VLOOKUP($B19&amp;$I$4&amp;F$15,【進行】結果入力表!$Q$7:$V$150,2,FALSE))</f>
        <v>36</v>
      </c>
      <c r="G19" s="342"/>
      <c r="H19" s="24">
        <f t="shared" si="44"/>
        <v>0</v>
      </c>
      <c r="I19" s="24">
        <f t="shared" si="45"/>
        <v>1</v>
      </c>
      <c r="J19" s="349">
        <f t="shared" si="46"/>
        <v>36</v>
      </c>
      <c r="K19" s="350"/>
      <c r="L19" s="341">
        <f t="shared" si="47"/>
        <v>36</v>
      </c>
      <c r="M19" s="363"/>
      <c r="N19" s="359" t="str">
        <f>IF(ISERROR(VLOOKUP($B19&amp;$I$4&amp;N$15,【進行】結果入力表!$Q$7:$V$150,2,FALSE)),"",VLOOKUP($B19&amp;$I$4&amp;N$15,【進行】結果入力表!$Q$7:$V$150,2,FALSE))</f>
        <v>w</v>
      </c>
      <c r="O19" s="342"/>
      <c r="P19" s="153">
        <f t="shared" si="48"/>
        <v>1</v>
      </c>
      <c r="Q19" s="153">
        <f t="shared" si="49"/>
        <v>0</v>
      </c>
      <c r="R19" s="24">
        <f t="shared" si="50"/>
        <v>1</v>
      </c>
      <c r="S19" s="24">
        <f t="shared" si="51"/>
        <v>1</v>
      </c>
      <c r="T19" s="349">
        <f t="shared" si="52"/>
        <v>216</v>
      </c>
      <c r="U19" s="350"/>
      <c r="V19" s="341">
        <f t="shared" si="53"/>
        <v>216</v>
      </c>
      <c r="W19" s="363"/>
      <c r="X19" s="359">
        <f>IF(ISERROR(VLOOKUP($B19&amp;$AC$4&amp;X$15,【進行】結果入力表!$Q$7:$V$150,2,FALSE)),"",VLOOKUP($B19&amp;$AC$4&amp;X$15,【進行】結果入力表!$Q$7:$V$150,2,FALSE))</f>
        <v>51</v>
      </c>
      <c r="Y19" s="342"/>
      <c r="Z19" s="153">
        <f t="shared" si="54"/>
        <v>0</v>
      </c>
      <c r="AA19" s="153">
        <f t="shared" si="55"/>
        <v>1</v>
      </c>
      <c r="AB19" s="24">
        <f t="shared" si="56"/>
        <v>1</v>
      </c>
      <c r="AC19" s="24">
        <f t="shared" si="57"/>
        <v>2</v>
      </c>
      <c r="AD19" s="349">
        <f t="shared" si="58"/>
        <v>267</v>
      </c>
      <c r="AE19" s="350"/>
      <c r="AF19" s="341">
        <f t="shared" si="59"/>
        <v>267</v>
      </c>
      <c r="AG19" s="363"/>
      <c r="AH19" s="359">
        <f>IF(ISERROR(VLOOKUP($B19&amp;$AC$4&amp;AH$15,【進行】結果入力表!$Q$7:$V$150,2,FALSE)),"",VLOOKUP($B19&amp;$AC$4&amp;AH$15,【進行】結果入力表!$Q$7:$V$150,2,FALSE))</f>
        <v>174</v>
      </c>
      <c r="AI19" s="342"/>
      <c r="AJ19" s="153">
        <f t="shared" si="60"/>
        <v>0</v>
      </c>
      <c r="AK19" s="153">
        <f t="shared" si="61"/>
        <v>1</v>
      </c>
      <c r="AL19" s="24">
        <f t="shared" si="62"/>
        <v>1</v>
      </c>
      <c r="AM19" s="24">
        <f t="shared" si="63"/>
        <v>3</v>
      </c>
      <c r="AN19" s="349">
        <f t="shared" si="64"/>
        <v>441</v>
      </c>
      <c r="AO19" s="350"/>
      <c r="AP19" s="341">
        <f t="shared" si="65"/>
        <v>441.00000000000006</v>
      </c>
      <c r="AQ19" s="363"/>
      <c r="AR19" s="359" t="str">
        <f>IF(ISERROR(VLOOKUP($B19&amp;$AW$4&amp;AR$15,【進行】結果入力表!$Q$7:$V$150,2,FALSE)),"",VLOOKUP($B19&amp;$AW$4&amp;AR$15,【進行】結果入力表!$Q$7:$V$150,2,FALSE))</f>
        <v>w</v>
      </c>
      <c r="AS19" s="342"/>
      <c r="AT19" s="153">
        <f t="shared" si="66"/>
        <v>1</v>
      </c>
      <c r="AU19" s="153">
        <f t="shared" si="67"/>
        <v>0</v>
      </c>
      <c r="AV19" s="24">
        <f t="shared" si="68"/>
        <v>2</v>
      </c>
      <c r="AW19" s="24">
        <f t="shared" si="69"/>
        <v>3</v>
      </c>
      <c r="AX19" s="349">
        <f t="shared" si="70"/>
        <v>621</v>
      </c>
      <c r="AY19" s="350"/>
      <c r="AZ19" s="341">
        <f t="shared" si="71"/>
        <v>621</v>
      </c>
      <c r="BA19" s="348"/>
      <c r="BB19" s="359">
        <f>IF(ISERROR(VLOOKUP($B19&amp;$AW$4&amp;BB$15,【進行】結果入力表!$Q$7:$V$150,2,FALSE)),"",VLOOKUP($B19&amp;$AW$4&amp;BB$15,【進行】結果入力表!$Q$7:$V$150,2,FALSE))</f>
        <v>90</v>
      </c>
      <c r="BC19" s="342"/>
      <c r="BD19" s="153">
        <f t="shared" si="72"/>
        <v>0</v>
      </c>
      <c r="BE19" s="153">
        <f t="shared" si="73"/>
        <v>1</v>
      </c>
      <c r="BF19" s="24">
        <f t="shared" si="74"/>
        <v>2</v>
      </c>
      <c r="BG19" s="24">
        <f t="shared" si="75"/>
        <v>4</v>
      </c>
      <c r="BH19" s="349">
        <f t="shared" si="76"/>
        <v>711</v>
      </c>
      <c r="BI19" s="350"/>
      <c r="BJ19" s="341">
        <f t="shared" si="77"/>
        <v>711</v>
      </c>
      <c r="BK19" s="342"/>
      <c r="BL19" s="92">
        <f t="shared" si="78"/>
        <v>6</v>
      </c>
      <c r="BM19" s="248" t="str">
        <f>IF(ISERROR(VLOOKUP($B19&amp;$I$4&amp;F$15,【進行】結果入力表!$Q$7:$V$150,3,FALSE)),"",VLOOKUP($B19&amp;$I$4&amp;F$15,【進行】結果入力表!$Q$7:$V$150,3,FALSE))</f>
        <v/>
      </c>
      <c r="BN19" s="249" t="str">
        <f>IF(ISERROR(VLOOKUP($B19&amp;$I$4&amp;N$15,【進行】結果入力表!$Q$7:$V$150,3,FALSE)),"",VLOOKUP($B19&amp;$I$4&amp;N$15,【進行】結果入力表!$Q$7:$V$150,3,FALSE))</f>
        <v/>
      </c>
      <c r="BO19" s="249" t="str">
        <f>IF(ISERROR(VLOOKUP($B19&amp;$AC$4&amp;X$15,【進行】結果入力表!$Q$7:$V$150,3,FALSE)),"",VLOOKUP($B19&amp;$AC$4&amp;X$15,【進行】結果入力表!$Q$7:$V$150,3,FALSE))</f>
        <v/>
      </c>
      <c r="BP19" s="249" t="str">
        <f>IF(ISERROR(VLOOKUP($B19&amp;$AC$4&amp;AH$15,【進行】結果入力表!$Q$7:$V$150,3,FALSE)),"",VLOOKUP($B19&amp;$AC$4&amp;AH$15,【進行】結果入力表!$Q$7:$V$150,3,FALSE))</f>
        <v/>
      </c>
      <c r="BQ19" s="249" t="str">
        <f>IF(ISERROR(VLOOKUP($B19&amp;$AW$4&amp;AR$15,【進行】結果入力表!$Q$7:$V$150,3,FALSE)),"",VLOOKUP($B19&amp;$AW$4&amp;AR$15,【進行】結果入力表!$Q$7:$V$150,3,FALSE))</f>
        <v/>
      </c>
      <c r="BR19" s="250" t="str">
        <f>IF(ISERROR(VLOOKUP($B19&amp;$AW$4&amp;BB$15,【進行】結果入力表!$Q$7:$V$150,3,FALSE)),"",VLOOKUP($B19&amp;$AW$4&amp;BB$15,【進行】結果入力表!$Q$7:$V$150,3,FALSE))</f>
        <v/>
      </c>
      <c r="BS19" s="15"/>
      <c r="BT19" s="254">
        <f t="shared" si="79"/>
        <v>0</v>
      </c>
      <c r="BU19" s="254">
        <f t="shared" si="79"/>
        <v>0</v>
      </c>
      <c r="BV19" s="254">
        <f t="shared" si="80"/>
        <v>0</v>
      </c>
      <c r="BW19" s="254">
        <f t="shared" si="81"/>
        <v>0</v>
      </c>
      <c r="BX19" s="254">
        <f t="shared" si="82"/>
        <v>5</v>
      </c>
      <c r="BY19" s="254" t="str">
        <f t="shared" si="83"/>
        <v>大橋義治</v>
      </c>
      <c r="BZ19" s="254" t="str">
        <f t="shared" si="84"/>
        <v>SBC</v>
      </c>
      <c r="CA19" s="254">
        <f t="shared" si="85"/>
        <v>0</v>
      </c>
      <c r="CB19" s="254"/>
      <c r="CC19" s="63">
        <f>COUNTIF(F19:BC19,"w")</f>
        <v>2</v>
      </c>
      <c r="CD19" s="59">
        <f>COUNT(F19,N19,AH19,X19,AR19,BB19)</f>
        <v>4</v>
      </c>
      <c r="CE19" s="237">
        <f>CC19*180+SUM(F19,N19,AH19,X19,AR19,BB19)*180/E19</f>
        <v>711</v>
      </c>
      <c r="CF19" s="64">
        <f>CC19*100000+CE19</f>
        <v>200711</v>
      </c>
      <c r="CG19" s="15"/>
      <c r="CH19" s="15"/>
      <c r="CS19" s="8">
        <f t="shared" si="86"/>
        <v>0</v>
      </c>
    </row>
    <row r="20" spans="1:97" ht="15" customHeight="1">
      <c r="A20" s="382"/>
      <c r="B20" s="378" t="str">
        <f>IF(【準備】登録!AK17=0,"",【準備】登録!AK17)</f>
        <v>山中康寛</v>
      </c>
      <c r="C20" s="379"/>
      <c r="D20" s="380"/>
      <c r="E20" s="98">
        <f>【準備】登録!R12</f>
        <v>180</v>
      </c>
      <c r="F20" s="359" t="str">
        <f>IF(ISERROR(VLOOKUP($B20&amp;$I$4&amp;F$15,【進行】結果入力表!$Q$7:$V$150,2,FALSE)),"",VLOOKUP($B20&amp;$I$4&amp;F$15,【進行】結果入力表!$Q$7:$V$150,2,FALSE))</f>
        <v>w</v>
      </c>
      <c r="G20" s="342"/>
      <c r="H20" s="24">
        <f t="shared" si="44"/>
        <v>1</v>
      </c>
      <c r="I20" s="24">
        <f t="shared" si="45"/>
        <v>0</v>
      </c>
      <c r="J20" s="349">
        <f t="shared" si="46"/>
        <v>180</v>
      </c>
      <c r="K20" s="350"/>
      <c r="L20" s="341">
        <f t="shared" si="47"/>
        <v>180</v>
      </c>
      <c r="M20" s="363"/>
      <c r="N20" s="359">
        <f>IF(ISERROR(VLOOKUP($B20&amp;$I$4&amp;N$15,【進行】結果入力表!$Q$7:$V$150,2,FALSE)),"",VLOOKUP($B20&amp;$I$4&amp;N$15,【進行】結果入力表!$Q$7:$V$150,2,FALSE))</f>
        <v>159</v>
      </c>
      <c r="O20" s="342"/>
      <c r="P20" s="153">
        <f t="shared" si="48"/>
        <v>0</v>
      </c>
      <c r="Q20" s="153">
        <f t="shared" si="49"/>
        <v>1</v>
      </c>
      <c r="R20" s="24">
        <f t="shared" si="50"/>
        <v>1</v>
      </c>
      <c r="S20" s="24">
        <f t="shared" si="51"/>
        <v>1</v>
      </c>
      <c r="T20" s="349">
        <f t="shared" si="52"/>
        <v>339</v>
      </c>
      <c r="U20" s="350"/>
      <c r="V20" s="341">
        <f t="shared" si="53"/>
        <v>339</v>
      </c>
      <c r="W20" s="363"/>
      <c r="X20" s="359" t="str">
        <f>IF(ISERROR(VLOOKUP($B20&amp;$AC$4&amp;X$15,【進行】結果入力表!$Q$7:$V$150,2,FALSE)),"",VLOOKUP($B20&amp;$AC$4&amp;X$15,【進行】結果入力表!$Q$7:$V$150,2,FALSE))</f>
        <v>w</v>
      </c>
      <c r="Y20" s="342"/>
      <c r="Z20" s="153">
        <f t="shared" si="54"/>
        <v>1</v>
      </c>
      <c r="AA20" s="153">
        <f t="shared" si="55"/>
        <v>0</v>
      </c>
      <c r="AB20" s="24">
        <f t="shared" si="56"/>
        <v>2</v>
      </c>
      <c r="AC20" s="24">
        <f t="shared" si="57"/>
        <v>1</v>
      </c>
      <c r="AD20" s="349">
        <f t="shared" si="58"/>
        <v>519</v>
      </c>
      <c r="AE20" s="350"/>
      <c r="AF20" s="341">
        <f t="shared" si="59"/>
        <v>519</v>
      </c>
      <c r="AG20" s="363"/>
      <c r="AH20" s="359" t="str">
        <f>IF(ISERROR(VLOOKUP($B20&amp;$AC$4&amp;AH$15,【進行】結果入力表!$Q$7:$V$150,2,FALSE)),"",VLOOKUP($B20&amp;$AC$4&amp;AH$15,【進行】結果入力表!$Q$7:$V$150,2,FALSE))</f>
        <v>w</v>
      </c>
      <c r="AI20" s="342"/>
      <c r="AJ20" s="153">
        <f t="shared" si="60"/>
        <v>1</v>
      </c>
      <c r="AK20" s="153">
        <f t="shared" si="61"/>
        <v>0</v>
      </c>
      <c r="AL20" s="24">
        <f t="shared" si="62"/>
        <v>3</v>
      </c>
      <c r="AM20" s="24">
        <f t="shared" si="63"/>
        <v>1</v>
      </c>
      <c r="AN20" s="349">
        <f t="shared" si="64"/>
        <v>699</v>
      </c>
      <c r="AO20" s="350"/>
      <c r="AP20" s="341">
        <f t="shared" si="65"/>
        <v>699</v>
      </c>
      <c r="AQ20" s="363"/>
      <c r="AR20" s="359">
        <f>IF(ISERROR(VLOOKUP($B20&amp;$AW$4&amp;AR$15,【進行】結果入力表!$Q$7:$V$150,2,FALSE)),"",VLOOKUP($B20&amp;$AW$4&amp;AR$15,【進行】結果入力表!$Q$7:$V$150,2,FALSE))</f>
        <v>3</v>
      </c>
      <c r="AS20" s="342"/>
      <c r="AT20" s="153">
        <f t="shared" si="66"/>
        <v>0</v>
      </c>
      <c r="AU20" s="153">
        <f t="shared" si="67"/>
        <v>1</v>
      </c>
      <c r="AV20" s="24">
        <f t="shared" si="68"/>
        <v>3</v>
      </c>
      <c r="AW20" s="24">
        <f t="shared" si="69"/>
        <v>2</v>
      </c>
      <c r="AX20" s="349">
        <f t="shared" si="70"/>
        <v>702</v>
      </c>
      <c r="AY20" s="350"/>
      <c r="AZ20" s="341">
        <f t="shared" si="71"/>
        <v>702</v>
      </c>
      <c r="BA20" s="348"/>
      <c r="BB20" s="359">
        <f>IF(ISERROR(VLOOKUP($B20&amp;$AW$4&amp;BB$15,【進行】結果入力表!$Q$7:$V$150,2,FALSE)),"",VLOOKUP($B20&amp;$AW$4&amp;BB$15,【進行】結果入力表!$Q$7:$V$150,2,FALSE))</f>
        <v>150</v>
      </c>
      <c r="BC20" s="342"/>
      <c r="BD20" s="153">
        <f t="shared" si="72"/>
        <v>0</v>
      </c>
      <c r="BE20" s="153">
        <f t="shared" si="73"/>
        <v>1</v>
      </c>
      <c r="BF20" s="24">
        <f t="shared" si="74"/>
        <v>3</v>
      </c>
      <c r="BG20" s="24">
        <f t="shared" si="75"/>
        <v>3</v>
      </c>
      <c r="BH20" s="349">
        <f t="shared" si="76"/>
        <v>852</v>
      </c>
      <c r="BI20" s="350"/>
      <c r="BJ20" s="341">
        <f t="shared" si="77"/>
        <v>852</v>
      </c>
      <c r="BK20" s="342"/>
      <c r="BL20" s="93">
        <f t="shared" si="78"/>
        <v>5</v>
      </c>
      <c r="BM20" s="248" t="str">
        <f>IF(ISERROR(VLOOKUP($B20&amp;$I$4&amp;F$15,【進行】結果入力表!$Q$7:$V$150,3,FALSE)),"",VLOOKUP($B20&amp;$I$4&amp;F$15,【進行】結果入力表!$Q$7:$V$150,3,FALSE))</f>
        <v/>
      </c>
      <c r="BN20" s="249" t="str">
        <f>IF(ISERROR(VLOOKUP($B20&amp;$I$4&amp;N$15,【進行】結果入力表!$Q$7:$V$150,3,FALSE)),"",VLOOKUP($B20&amp;$I$4&amp;N$15,【進行】結果入力表!$Q$7:$V$150,3,FALSE))</f>
        <v/>
      </c>
      <c r="BO20" s="249" t="str">
        <f>IF(ISERROR(VLOOKUP($B20&amp;$AC$4&amp;X$15,【進行】結果入力表!$Q$7:$V$150,3,FALSE)),"",VLOOKUP($B20&amp;$AC$4&amp;X$15,【進行】結果入力表!$Q$7:$V$150,3,FALSE))</f>
        <v/>
      </c>
      <c r="BP20" s="249" t="str">
        <f>IF(ISERROR(VLOOKUP($B20&amp;$AC$4&amp;AH$15,【進行】結果入力表!$Q$7:$V$150,3,FALSE)),"",VLOOKUP($B20&amp;$AC$4&amp;AH$15,【進行】結果入力表!$Q$7:$V$150,3,FALSE))</f>
        <v/>
      </c>
      <c r="BQ20" s="249" t="str">
        <f>IF(ISERROR(VLOOKUP($B20&amp;$AW$4&amp;AR$15,【進行】結果入力表!$Q$7:$V$150,3,FALSE)),"",VLOOKUP($B20&amp;$AW$4&amp;AR$15,【進行】結果入力表!$Q$7:$V$150,3,FALSE))</f>
        <v/>
      </c>
      <c r="BR20" s="250" t="str">
        <f>IF(ISERROR(VLOOKUP($B20&amp;$AW$4&amp;BB$15,【進行】結果入力表!$Q$7:$V$150,3,FALSE)),"",VLOOKUP($B20&amp;$AW$4&amp;BB$15,【進行】結果入力表!$Q$7:$V$150,3,FALSE))</f>
        <v/>
      </c>
      <c r="BS20" s="15"/>
      <c r="BT20" s="254">
        <f t="shared" si="79"/>
        <v>0</v>
      </c>
      <c r="BU20" s="254">
        <f t="shared" si="79"/>
        <v>0</v>
      </c>
      <c r="BV20" s="254">
        <f t="shared" si="80"/>
        <v>0</v>
      </c>
      <c r="BW20" s="254">
        <f t="shared" si="81"/>
        <v>0</v>
      </c>
      <c r="BX20" s="254">
        <f t="shared" si="82"/>
        <v>5</v>
      </c>
      <c r="BY20" s="254" t="str">
        <f t="shared" si="83"/>
        <v>山中康寛</v>
      </c>
      <c r="BZ20" s="254" t="str">
        <f t="shared" si="84"/>
        <v>SBC</v>
      </c>
      <c r="CA20" s="254">
        <f t="shared" si="85"/>
        <v>0</v>
      </c>
      <c r="CB20" s="254"/>
      <c r="CC20" s="63">
        <f>COUNTIF(F20:BC20,"w")</f>
        <v>3</v>
      </c>
      <c r="CD20" s="59">
        <f>COUNT(F20,N20,AH20,X20,AR20,BB20)</f>
        <v>3</v>
      </c>
      <c r="CE20" s="237">
        <f>CC20*180+SUM(F20,N20,AH20,X20,AR20,BB20)*180/E20</f>
        <v>852</v>
      </c>
      <c r="CF20" s="64">
        <f>CC20*100000+CE20</f>
        <v>300852</v>
      </c>
      <c r="CG20" s="15"/>
      <c r="CH20" s="15"/>
      <c r="CS20" s="8">
        <f t="shared" si="86"/>
        <v>0</v>
      </c>
    </row>
    <row r="21" spans="1:97" ht="15" customHeight="1">
      <c r="A21" s="382"/>
      <c r="B21" s="378" t="str">
        <f>IF(【準備】登録!AK18=0,"",【準備】登録!AK18)</f>
        <v>大橋洋子</v>
      </c>
      <c r="C21" s="379"/>
      <c r="D21" s="380"/>
      <c r="E21" s="98">
        <f>IF(【準備】登録!U12="","",【準備】登録!U12)</f>
        <v>140</v>
      </c>
      <c r="F21" s="359" t="str">
        <f>IF(ISERROR(VLOOKUP($B21&amp;$I$4&amp;F$15,【進行】結果入力表!$Q$7:$V$150,2,FALSE)),"",VLOOKUP($B21&amp;$I$4&amp;F$15,【進行】結果入力表!$Q$7:$V$150,2,FALSE))</f>
        <v>w</v>
      </c>
      <c r="G21" s="342"/>
      <c r="H21" s="24">
        <f t="shared" si="44"/>
        <v>1</v>
      </c>
      <c r="I21" s="24">
        <f t="shared" si="45"/>
        <v>0</v>
      </c>
      <c r="J21" s="349">
        <f t="shared" si="46"/>
        <v>140</v>
      </c>
      <c r="K21" s="350"/>
      <c r="L21" s="341">
        <f t="shared" si="47"/>
        <v>180</v>
      </c>
      <c r="M21" s="363"/>
      <c r="N21" s="359" t="str">
        <f>IF(ISERROR(VLOOKUP($B21&amp;$I$4&amp;N$15,【進行】結果入力表!$Q$7:$V$150,2,FALSE)),"",VLOOKUP($B21&amp;$I$4&amp;N$15,【進行】結果入力表!$Q$7:$V$150,2,FALSE))</f>
        <v>w</v>
      </c>
      <c r="O21" s="342"/>
      <c r="P21" s="153">
        <f t="shared" si="48"/>
        <v>1</v>
      </c>
      <c r="Q21" s="153">
        <f t="shared" si="49"/>
        <v>0</v>
      </c>
      <c r="R21" s="24">
        <f t="shared" si="50"/>
        <v>2</v>
      </c>
      <c r="S21" s="24">
        <f t="shared" si="51"/>
        <v>0</v>
      </c>
      <c r="T21" s="349">
        <f t="shared" si="52"/>
        <v>280</v>
      </c>
      <c r="U21" s="350"/>
      <c r="V21" s="341">
        <f t="shared" si="53"/>
        <v>360</v>
      </c>
      <c r="W21" s="363"/>
      <c r="X21" s="359">
        <f>IF(ISERROR(VLOOKUP($B21&amp;$AC$4&amp;X$15,【進行】結果入力表!$Q$7:$V$150,2,FALSE)),"",VLOOKUP($B21&amp;$AC$4&amp;X$15,【進行】結果入力表!$Q$7:$V$150,2,FALSE))</f>
        <v>11</v>
      </c>
      <c r="Y21" s="342"/>
      <c r="Z21" s="153">
        <f t="shared" si="54"/>
        <v>0</v>
      </c>
      <c r="AA21" s="153">
        <f t="shared" si="55"/>
        <v>1</v>
      </c>
      <c r="AB21" s="24">
        <f t="shared" si="56"/>
        <v>2</v>
      </c>
      <c r="AC21" s="24">
        <f t="shared" si="57"/>
        <v>1</v>
      </c>
      <c r="AD21" s="349">
        <f t="shared" si="58"/>
        <v>291</v>
      </c>
      <c r="AE21" s="350"/>
      <c r="AF21" s="341">
        <f t="shared" si="59"/>
        <v>374.14285714285717</v>
      </c>
      <c r="AG21" s="363"/>
      <c r="AH21" s="359">
        <f>IF(ISERROR(VLOOKUP($B21&amp;$AC$4&amp;AH$15,【進行】結果入力表!$Q$7:$V$150,2,FALSE)),"",VLOOKUP($B21&amp;$AC$4&amp;AH$15,【進行】結果入力表!$Q$7:$V$150,2,FALSE))</f>
        <v>115</v>
      </c>
      <c r="AI21" s="342"/>
      <c r="AJ21" s="153">
        <f t="shared" si="60"/>
        <v>0</v>
      </c>
      <c r="AK21" s="153">
        <f t="shared" si="61"/>
        <v>1</v>
      </c>
      <c r="AL21" s="24">
        <f t="shared" si="62"/>
        <v>2</v>
      </c>
      <c r="AM21" s="24">
        <f t="shared" si="63"/>
        <v>2</v>
      </c>
      <c r="AN21" s="349">
        <f t="shared" si="64"/>
        <v>406</v>
      </c>
      <c r="AO21" s="350"/>
      <c r="AP21" s="341">
        <f t="shared" si="65"/>
        <v>522</v>
      </c>
      <c r="AQ21" s="363"/>
      <c r="AR21" s="359" t="str">
        <f>IF(ISERROR(VLOOKUP($B21&amp;$AW$4&amp;AR$15,【進行】結果入力表!$Q$7:$V$150,2,FALSE)),"",VLOOKUP($B21&amp;$AW$4&amp;AR$15,【進行】結果入力表!$Q$7:$V$150,2,FALSE))</f>
        <v>w</v>
      </c>
      <c r="AS21" s="342"/>
      <c r="AT21" s="153">
        <f t="shared" si="66"/>
        <v>1</v>
      </c>
      <c r="AU21" s="153">
        <f t="shared" si="67"/>
        <v>0</v>
      </c>
      <c r="AV21" s="24">
        <f t="shared" si="68"/>
        <v>3</v>
      </c>
      <c r="AW21" s="24">
        <f t="shared" si="69"/>
        <v>2</v>
      </c>
      <c r="AX21" s="349">
        <f t="shared" si="70"/>
        <v>546</v>
      </c>
      <c r="AY21" s="350"/>
      <c r="AZ21" s="341">
        <f t="shared" si="71"/>
        <v>702</v>
      </c>
      <c r="BA21" s="348"/>
      <c r="BB21" s="359" t="str">
        <f>IF(ISERROR(VLOOKUP($B21&amp;$AW$4&amp;BB$15,【進行】結果入力表!$Q$7:$V$150,2,FALSE)),"",VLOOKUP($B21&amp;$AW$4&amp;BB$15,【進行】結果入力表!$Q$7:$V$150,2,FALSE))</f>
        <v>w</v>
      </c>
      <c r="BC21" s="342"/>
      <c r="BD21" s="153">
        <f t="shared" si="72"/>
        <v>1</v>
      </c>
      <c r="BE21" s="153">
        <f t="shared" si="73"/>
        <v>0</v>
      </c>
      <c r="BF21" s="24">
        <f t="shared" si="74"/>
        <v>4</v>
      </c>
      <c r="BG21" s="24">
        <f t="shared" si="75"/>
        <v>2</v>
      </c>
      <c r="BH21" s="349">
        <f t="shared" si="76"/>
        <v>686</v>
      </c>
      <c r="BI21" s="350"/>
      <c r="BJ21" s="341">
        <f t="shared" si="77"/>
        <v>882.00000000000011</v>
      </c>
      <c r="BK21" s="342"/>
      <c r="BL21" s="92">
        <f t="shared" si="78"/>
        <v>4</v>
      </c>
      <c r="BM21" s="248" t="str">
        <f>IF(ISERROR(VLOOKUP($B21&amp;$I$4&amp;F$15,【進行】結果入力表!$Q$7:$V$150,3,FALSE)),"",VLOOKUP($B21&amp;$I$4&amp;F$15,【進行】結果入力表!$Q$7:$V$150,3,FALSE))</f>
        <v/>
      </c>
      <c r="BN21" s="249" t="str">
        <f>IF(ISERROR(VLOOKUP($B21&amp;$I$4&amp;N$15,【進行】結果入力表!$Q$7:$V$150,3,FALSE)),"",VLOOKUP($B21&amp;$I$4&amp;N$15,【進行】結果入力表!$Q$7:$V$150,3,FALSE))</f>
        <v/>
      </c>
      <c r="BO21" s="249" t="str">
        <f>IF(ISERROR(VLOOKUP($B21&amp;$AC$4&amp;X$15,【進行】結果入力表!$Q$7:$V$150,3,FALSE)),"",VLOOKUP($B21&amp;$AC$4&amp;X$15,【進行】結果入力表!$Q$7:$V$150,3,FALSE))</f>
        <v/>
      </c>
      <c r="BP21" s="249" t="str">
        <f>IF(ISERROR(VLOOKUP($B21&amp;$AC$4&amp;AH$15,【進行】結果入力表!$Q$7:$V$150,3,FALSE)),"",VLOOKUP($B21&amp;$AC$4&amp;AH$15,【進行】結果入力表!$Q$7:$V$150,3,FALSE))</f>
        <v/>
      </c>
      <c r="BQ21" s="249" t="str">
        <f>IF(ISERROR(VLOOKUP($B21&amp;$AW$4&amp;AR$15,【進行】結果入力表!$Q$7:$V$150,3,FALSE)),"",VLOOKUP($B21&amp;$AW$4&amp;AR$15,【進行】結果入力表!$Q$7:$V$150,3,FALSE))</f>
        <v/>
      </c>
      <c r="BR21" s="250" t="str">
        <f>IF(ISERROR(VLOOKUP($B21&amp;$AW$4&amp;BB$15,【進行】結果入力表!$Q$7:$V$150,3,FALSE)),"",VLOOKUP($B21&amp;$AW$4&amp;BB$15,【進行】結果入力表!$Q$7:$V$150,3,FALSE))</f>
        <v/>
      </c>
      <c r="BS21" s="15"/>
      <c r="BT21" s="254">
        <f t="shared" si="79"/>
        <v>0</v>
      </c>
      <c r="BU21" s="254">
        <f t="shared" si="79"/>
        <v>0</v>
      </c>
      <c r="BV21" s="254">
        <f t="shared" si="80"/>
        <v>0</v>
      </c>
      <c r="BW21" s="254">
        <f t="shared" si="81"/>
        <v>0</v>
      </c>
      <c r="BX21" s="254">
        <f t="shared" si="82"/>
        <v>5</v>
      </c>
      <c r="BY21" s="254" t="str">
        <f t="shared" si="83"/>
        <v>大橋洋子</v>
      </c>
      <c r="BZ21" s="254" t="str">
        <f t="shared" si="84"/>
        <v>SBC</v>
      </c>
      <c r="CA21" s="254">
        <f t="shared" si="85"/>
        <v>0</v>
      </c>
      <c r="CB21" s="254"/>
      <c r="CC21" s="63">
        <f>IF(B21="","",COUNTIF(F21:BC21,"w"))</f>
        <v>4</v>
      </c>
      <c r="CD21" s="59">
        <f>IF(B21="","",COUNT(F21,N21,AH21,X21,AR21,BB21))</f>
        <v>2</v>
      </c>
      <c r="CE21" s="237">
        <f>IF(CC21="","",CC21*180+SUM(F21,N21,AH21,X21,AR21,BB21)*180/E21)</f>
        <v>882</v>
      </c>
      <c r="CF21" s="64">
        <f>IF(B21="","",CC21*100000+CE21)</f>
        <v>400882</v>
      </c>
      <c r="CG21" s="15"/>
      <c r="CH21" s="15"/>
      <c r="CS21" s="8">
        <f>SUM(CM21:CR21)</f>
        <v>0</v>
      </c>
    </row>
    <row r="22" spans="1:97" ht="15" customHeight="1">
      <c r="A22" s="382"/>
      <c r="B22" s="378" t="str">
        <f>IF(【準備】登録!AK19=0,"",【準備】登録!AK19)</f>
        <v/>
      </c>
      <c r="C22" s="379"/>
      <c r="D22" s="380"/>
      <c r="E22" s="98" t="str">
        <f>IF(【準備】登録!X12="","",【準備】登録!X12)</f>
        <v/>
      </c>
      <c r="F22" s="359" t="str">
        <f>IF(ISERROR(VLOOKUP($B22&amp;$I$4&amp;F$15,【進行】結果入力表!$Q$7:$V$150,2,FALSE)),"",VLOOKUP($B22&amp;$I$4&amp;F$15,【進行】結果入力表!$Q$7:$V$150,2,FALSE))</f>
        <v/>
      </c>
      <c r="G22" s="342"/>
      <c r="H22" s="24" t="str">
        <f t="shared" si="44"/>
        <v/>
      </c>
      <c r="I22" s="24" t="str">
        <f t="shared" si="45"/>
        <v/>
      </c>
      <c r="J22" s="349" t="str">
        <f t="shared" si="46"/>
        <v/>
      </c>
      <c r="K22" s="350"/>
      <c r="L22" s="341" t="str">
        <f t="shared" si="47"/>
        <v/>
      </c>
      <c r="M22" s="363"/>
      <c r="N22" s="359" t="str">
        <f>IF(ISERROR(VLOOKUP($B22&amp;$I$4&amp;N$15,【進行】結果入力表!$Q$7:$V$150,2,FALSE)),"",VLOOKUP($B22&amp;$I$4&amp;N$15,【進行】結果入力表!$Q$7:$V$150,2,FALSE))</f>
        <v/>
      </c>
      <c r="O22" s="342"/>
      <c r="P22" s="153" t="str">
        <f t="shared" si="48"/>
        <v/>
      </c>
      <c r="Q22" s="153" t="str">
        <f t="shared" si="49"/>
        <v/>
      </c>
      <c r="R22" s="24" t="str">
        <f t="shared" si="50"/>
        <v/>
      </c>
      <c r="S22" s="24" t="str">
        <f t="shared" si="51"/>
        <v/>
      </c>
      <c r="T22" s="349" t="str">
        <f t="shared" si="52"/>
        <v/>
      </c>
      <c r="U22" s="350"/>
      <c r="V22" s="341" t="str">
        <f t="shared" si="53"/>
        <v/>
      </c>
      <c r="W22" s="363"/>
      <c r="X22" s="359" t="str">
        <f>IF(ISERROR(VLOOKUP($B22&amp;$AC$4&amp;X$15,【進行】結果入力表!$Q$7:$V$150,2,FALSE)),"",VLOOKUP($B22&amp;$AC$4&amp;X$15,【進行】結果入力表!$Q$7:$V$150,2,FALSE))</f>
        <v/>
      </c>
      <c r="Y22" s="342"/>
      <c r="Z22" s="153" t="str">
        <f t="shared" si="54"/>
        <v/>
      </c>
      <c r="AA22" s="153" t="str">
        <f t="shared" si="55"/>
        <v/>
      </c>
      <c r="AB22" s="24" t="str">
        <f t="shared" si="56"/>
        <v/>
      </c>
      <c r="AC22" s="24" t="str">
        <f t="shared" si="57"/>
        <v/>
      </c>
      <c r="AD22" s="349" t="str">
        <f t="shared" si="58"/>
        <v/>
      </c>
      <c r="AE22" s="350"/>
      <c r="AF22" s="341" t="str">
        <f t="shared" si="59"/>
        <v/>
      </c>
      <c r="AG22" s="363"/>
      <c r="AH22" s="359" t="str">
        <f>IF(ISERROR(VLOOKUP($B22&amp;$AC$4&amp;AH$15,【進行】結果入力表!$Q$7:$V$150,2,FALSE)),"",VLOOKUP($B22&amp;$AC$4&amp;AH$15,【進行】結果入力表!$Q$7:$V$150,2,FALSE))</f>
        <v/>
      </c>
      <c r="AI22" s="342"/>
      <c r="AJ22" s="153" t="str">
        <f t="shared" si="60"/>
        <v/>
      </c>
      <c r="AK22" s="153" t="str">
        <f t="shared" si="61"/>
        <v/>
      </c>
      <c r="AL22" s="24" t="str">
        <f t="shared" si="62"/>
        <v/>
      </c>
      <c r="AM22" s="24" t="str">
        <f t="shared" si="63"/>
        <v/>
      </c>
      <c r="AN22" s="349" t="str">
        <f t="shared" si="64"/>
        <v/>
      </c>
      <c r="AO22" s="350"/>
      <c r="AP22" s="341" t="str">
        <f t="shared" si="65"/>
        <v/>
      </c>
      <c r="AQ22" s="363"/>
      <c r="AR22" s="359" t="str">
        <f>IF(ISERROR(VLOOKUP($B22&amp;$AW$4&amp;AR$15,【進行】結果入力表!$Q$7:$V$150,2,FALSE)),"",VLOOKUP($B22&amp;$AW$4&amp;AR$15,【進行】結果入力表!$Q$7:$V$150,2,FALSE))</f>
        <v/>
      </c>
      <c r="AS22" s="342"/>
      <c r="AT22" s="153" t="str">
        <f t="shared" si="66"/>
        <v/>
      </c>
      <c r="AU22" s="153" t="str">
        <f t="shared" si="67"/>
        <v/>
      </c>
      <c r="AV22" s="24" t="str">
        <f t="shared" si="68"/>
        <v/>
      </c>
      <c r="AW22" s="24" t="str">
        <f t="shared" si="69"/>
        <v/>
      </c>
      <c r="AX22" s="349" t="str">
        <f t="shared" si="70"/>
        <v/>
      </c>
      <c r="AY22" s="350"/>
      <c r="AZ22" s="341" t="str">
        <f t="shared" si="71"/>
        <v/>
      </c>
      <c r="BA22" s="348"/>
      <c r="BB22" s="359" t="str">
        <f>IF(ISERROR(VLOOKUP($B22&amp;$AW$4&amp;BB$15,【進行】結果入力表!$Q$7:$V$150,2,FALSE)),"",VLOOKUP($B22&amp;$AW$4&amp;BB$15,【進行】結果入力表!$Q$7:$V$150,2,FALSE))</f>
        <v/>
      </c>
      <c r="BC22" s="342"/>
      <c r="BD22" s="153" t="str">
        <f t="shared" si="72"/>
        <v/>
      </c>
      <c r="BE22" s="153" t="str">
        <f t="shared" si="73"/>
        <v/>
      </c>
      <c r="BF22" s="24" t="str">
        <f t="shared" si="74"/>
        <v/>
      </c>
      <c r="BG22" s="24" t="str">
        <f t="shared" si="75"/>
        <v/>
      </c>
      <c r="BH22" s="349" t="str">
        <f t="shared" si="76"/>
        <v/>
      </c>
      <c r="BI22" s="350"/>
      <c r="BJ22" s="341" t="str">
        <f t="shared" si="77"/>
        <v/>
      </c>
      <c r="BK22" s="342"/>
      <c r="BL22" s="93" t="str">
        <f t="shared" si="78"/>
        <v/>
      </c>
      <c r="BM22" s="248" t="str">
        <f>IF(ISERROR(VLOOKUP($B22&amp;$I$4&amp;F$15,【進行】結果入力表!$Q$7:$V$150,3,FALSE)),"",VLOOKUP($B22&amp;$I$4&amp;F$15,【進行】結果入力表!$Q$7:$V$150,3,FALSE))</f>
        <v/>
      </c>
      <c r="BN22" s="249" t="str">
        <f>IF(ISERROR(VLOOKUP($B22&amp;$I$4&amp;N$15,【進行】結果入力表!$Q$7:$V$150,3,FALSE)),"",VLOOKUP($B22&amp;$I$4&amp;N$15,【進行】結果入力表!$Q$7:$V$150,3,FALSE))</f>
        <v/>
      </c>
      <c r="BO22" s="249" t="str">
        <f>IF(ISERROR(VLOOKUP($B22&amp;$AC$4&amp;X$15,【進行】結果入力表!$Q$7:$V$150,3,FALSE)),"",VLOOKUP($B22&amp;$AC$4&amp;X$15,【進行】結果入力表!$Q$7:$V$150,3,FALSE))</f>
        <v/>
      </c>
      <c r="BP22" s="249" t="str">
        <f>IF(ISERROR(VLOOKUP($B22&amp;$AC$4&amp;AH$15,【進行】結果入力表!$Q$7:$V$150,3,FALSE)),"",VLOOKUP($B22&amp;$AC$4&amp;AH$15,【進行】結果入力表!$Q$7:$V$150,3,FALSE))</f>
        <v/>
      </c>
      <c r="BQ22" s="249" t="str">
        <f>IF(ISERROR(VLOOKUP($B22&amp;$AW$4&amp;AR$15,【進行】結果入力表!$Q$7:$V$150,3,FALSE)),"",VLOOKUP($B22&amp;$AW$4&amp;AR$15,【進行】結果入力表!$Q$7:$V$150,3,FALSE))</f>
        <v/>
      </c>
      <c r="BR22" s="250" t="str">
        <f>IF(ISERROR(VLOOKUP($B22&amp;$AW$4&amp;BB$15,【進行】結果入力表!$Q$7:$V$150,3,FALSE)),"",VLOOKUP($B22&amp;$AW$4&amp;BB$15,【進行】結果入力表!$Q$7:$V$150,3,FALSE))</f>
        <v/>
      </c>
      <c r="BS22" s="15"/>
      <c r="BT22" s="254">
        <f t="shared" si="79"/>
        <v>0</v>
      </c>
      <c r="BU22" s="254">
        <f t="shared" si="79"/>
        <v>0</v>
      </c>
      <c r="BV22" s="254">
        <f t="shared" si="80"/>
        <v>0</v>
      </c>
      <c r="BW22" s="254">
        <f t="shared" si="81"/>
        <v>0</v>
      </c>
      <c r="BX22" s="254">
        <f t="shared" si="82"/>
        <v>5</v>
      </c>
      <c r="BY22" s="254" t="str">
        <f t="shared" si="83"/>
        <v/>
      </c>
      <c r="BZ22" s="254" t="str">
        <f t="shared" si="84"/>
        <v>SBC</v>
      </c>
      <c r="CA22" s="254">
        <f t="shared" si="85"/>
        <v>0</v>
      </c>
      <c r="CB22" s="254"/>
      <c r="CC22" s="63" t="str">
        <f>IF(B22="","",COUNTIF(F22:BC22,"w"))</f>
        <v/>
      </c>
      <c r="CD22" s="59" t="str">
        <f>IF(B22="","",COUNT(F22,N22,AH22,X22,AR22,BB22))</f>
        <v/>
      </c>
      <c r="CE22" s="237" t="str">
        <f>IF(CC22="","",CC22*180+SUM(F22,N22,AH22,X22,AR22,BB22)*180/E22)</f>
        <v/>
      </c>
      <c r="CF22" s="64" t="str">
        <f>IF(B22="","",CC22*100000+CE22)</f>
        <v/>
      </c>
      <c r="CG22" s="15"/>
      <c r="CH22" s="15"/>
      <c r="CS22" s="8">
        <f t="shared" si="86"/>
        <v>0</v>
      </c>
    </row>
    <row r="23" spans="1:97" ht="15" customHeight="1">
      <c r="A23" s="382"/>
      <c r="B23" s="393" t="str">
        <f>IF(【準備】登録!AK20=0,"",【準備】登録!AK20)</f>
        <v/>
      </c>
      <c r="C23" s="394"/>
      <c r="D23" s="395"/>
      <c r="E23" s="99" t="str">
        <f>IF(【準備】登録!$Y$12="","",【準備】登録!AA12)</f>
        <v/>
      </c>
      <c r="F23" s="372" t="str">
        <f>IF(ISERROR(VLOOKUP($B23&amp;$I$4&amp;F$15,【進行】結果入力表!$Q$7:$V$150,2,FALSE)),"",VLOOKUP($B23&amp;$I$4&amp;F$15,【進行】結果入力表!$Q$7:$V$150,2,FALSE))</f>
        <v/>
      </c>
      <c r="G23" s="344"/>
      <c r="H23" s="25" t="str">
        <f t="shared" si="44"/>
        <v/>
      </c>
      <c r="I23" s="25" t="str">
        <f t="shared" si="45"/>
        <v/>
      </c>
      <c r="J23" s="368" t="str">
        <f t="shared" si="46"/>
        <v/>
      </c>
      <c r="K23" s="369"/>
      <c r="L23" s="343" t="str">
        <f t="shared" si="47"/>
        <v/>
      </c>
      <c r="M23" s="373"/>
      <c r="N23" s="372" t="str">
        <f>IF(ISERROR(VLOOKUP($B23&amp;$I$4&amp;N$15,【進行】結果入力表!$Q$7:$V$150,2,FALSE)),"",VLOOKUP($B23&amp;$I$4&amp;N$15,【進行】結果入力表!$Q$7:$V$150,2,FALSE))</f>
        <v/>
      </c>
      <c r="O23" s="344"/>
      <c r="P23" s="154" t="str">
        <f t="shared" si="48"/>
        <v/>
      </c>
      <c r="Q23" s="154" t="str">
        <f t="shared" si="49"/>
        <v/>
      </c>
      <c r="R23" s="25" t="str">
        <f t="shared" si="50"/>
        <v/>
      </c>
      <c r="S23" s="25" t="str">
        <f t="shared" si="51"/>
        <v/>
      </c>
      <c r="T23" s="368" t="str">
        <f t="shared" si="52"/>
        <v/>
      </c>
      <c r="U23" s="369"/>
      <c r="V23" s="343" t="str">
        <f t="shared" si="53"/>
        <v/>
      </c>
      <c r="W23" s="373"/>
      <c r="X23" s="372" t="str">
        <f>IF(ISERROR(VLOOKUP($B23&amp;$AC$4&amp;X$15,【進行】結果入力表!$Q$7:$V$150,2,FALSE)),"",VLOOKUP($B23&amp;$AC$4&amp;X$15,【進行】結果入力表!$Q$7:$V$150,2,FALSE))</f>
        <v/>
      </c>
      <c r="Y23" s="344"/>
      <c r="Z23" s="154" t="str">
        <f t="shared" si="54"/>
        <v/>
      </c>
      <c r="AA23" s="154" t="str">
        <f t="shared" si="55"/>
        <v/>
      </c>
      <c r="AB23" s="25" t="str">
        <f t="shared" si="56"/>
        <v/>
      </c>
      <c r="AC23" s="25" t="str">
        <f t="shared" si="57"/>
        <v/>
      </c>
      <c r="AD23" s="368" t="str">
        <f t="shared" si="58"/>
        <v/>
      </c>
      <c r="AE23" s="369"/>
      <c r="AF23" s="343" t="str">
        <f t="shared" si="59"/>
        <v/>
      </c>
      <c r="AG23" s="373"/>
      <c r="AH23" s="372" t="str">
        <f>IF(ISERROR(VLOOKUP($B23&amp;$AC$4&amp;AH$15,【進行】結果入力表!$Q$7:$V$150,2,FALSE)),"",VLOOKUP($B23&amp;$AC$4&amp;AH$15,【進行】結果入力表!$Q$7:$V$150,2,FALSE))</f>
        <v/>
      </c>
      <c r="AI23" s="344"/>
      <c r="AJ23" s="154" t="str">
        <f t="shared" si="60"/>
        <v/>
      </c>
      <c r="AK23" s="154" t="str">
        <f t="shared" si="61"/>
        <v/>
      </c>
      <c r="AL23" s="25" t="str">
        <f t="shared" si="62"/>
        <v/>
      </c>
      <c r="AM23" s="25" t="str">
        <f t="shared" si="63"/>
        <v/>
      </c>
      <c r="AN23" s="368" t="str">
        <f t="shared" si="64"/>
        <v/>
      </c>
      <c r="AO23" s="369"/>
      <c r="AP23" s="343" t="str">
        <f t="shared" si="65"/>
        <v/>
      </c>
      <c r="AQ23" s="373"/>
      <c r="AR23" s="372" t="str">
        <f>IF(ISERROR(VLOOKUP($B23&amp;$AW$4&amp;AR$15,【進行】結果入力表!$Q$7:$V$150,2,FALSE)),"",VLOOKUP($B23&amp;$AW$4&amp;AR$15,【進行】結果入力表!$Q$7:$V$150,2,FALSE))</f>
        <v/>
      </c>
      <c r="AS23" s="344"/>
      <c r="AT23" s="154" t="str">
        <f t="shared" si="66"/>
        <v/>
      </c>
      <c r="AU23" s="154" t="str">
        <f t="shared" si="67"/>
        <v/>
      </c>
      <c r="AV23" s="25" t="str">
        <f t="shared" si="68"/>
        <v/>
      </c>
      <c r="AW23" s="25" t="str">
        <f t="shared" si="69"/>
        <v/>
      </c>
      <c r="AX23" s="368" t="str">
        <f t="shared" si="70"/>
        <v/>
      </c>
      <c r="AY23" s="369"/>
      <c r="AZ23" s="343" t="str">
        <f t="shared" si="71"/>
        <v/>
      </c>
      <c r="BA23" s="347"/>
      <c r="BB23" s="372" t="str">
        <f>IF(ISERROR(VLOOKUP($B23&amp;$AW$4&amp;BB$15,【進行】結果入力表!$Q$7:$V$150,2,FALSE)),"",VLOOKUP($B23&amp;$AW$4&amp;BB$15,【進行】結果入力表!$Q$7:$V$150,2,FALSE))</f>
        <v/>
      </c>
      <c r="BC23" s="344"/>
      <c r="BD23" s="154" t="str">
        <f t="shared" si="72"/>
        <v/>
      </c>
      <c r="BE23" s="154" t="str">
        <f t="shared" si="73"/>
        <v/>
      </c>
      <c r="BF23" s="25" t="str">
        <f t="shared" si="74"/>
        <v/>
      </c>
      <c r="BG23" s="25" t="str">
        <f t="shared" si="75"/>
        <v/>
      </c>
      <c r="BH23" s="368" t="str">
        <f t="shared" si="76"/>
        <v/>
      </c>
      <c r="BI23" s="369"/>
      <c r="BJ23" s="343" t="str">
        <f t="shared" si="77"/>
        <v/>
      </c>
      <c r="BK23" s="344"/>
      <c r="BL23" s="26" t="str">
        <f t="shared" si="78"/>
        <v/>
      </c>
      <c r="BM23" s="251" t="str">
        <f>IF(ISERROR(VLOOKUP($B23&amp;$I$4&amp;F$15,【進行】結果入力表!$Q$7:$V$150,3,FALSE)),"",VLOOKUP($B23&amp;$I$4&amp;F$15,【進行】結果入力表!$Q$7:$V$150,3,FALSE))</f>
        <v/>
      </c>
      <c r="BN23" s="252" t="str">
        <f>IF(ISERROR(VLOOKUP($B23&amp;$I$4&amp;N$15,【進行】結果入力表!$Q$7:$V$150,3,FALSE)),"",VLOOKUP($B23&amp;$I$4&amp;N$15,【進行】結果入力表!$Q$7:$V$150,3,FALSE))</f>
        <v/>
      </c>
      <c r="BO23" s="252" t="str">
        <f>IF(ISERROR(VLOOKUP($B23&amp;$AC$4&amp;X$15,【進行】結果入力表!$Q$7:$V$150,3,FALSE)),"",VLOOKUP($B23&amp;$AC$4&amp;X$15,【進行】結果入力表!$Q$7:$V$150,3,FALSE))</f>
        <v/>
      </c>
      <c r="BP23" s="252" t="str">
        <f>IF(ISERROR(VLOOKUP($B23&amp;$AC$4&amp;AH$15,【進行】結果入力表!$Q$7:$V$150,3,FALSE)),"",VLOOKUP($B23&amp;$AC$4&amp;AH$15,【進行】結果入力表!$Q$7:$V$150,3,FALSE))</f>
        <v/>
      </c>
      <c r="BQ23" s="252" t="str">
        <f>IF(ISERROR(VLOOKUP($B23&amp;$AW$4&amp;AR$15,【進行】結果入力表!$Q$7:$V$150,3,FALSE)),"",VLOOKUP($B23&amp;$AW$4&amp;AR$15,【進行】結果入力表!$Q$7:$V$150,3,FALSE))</f>
        <v/>
      </c>
      <c r="BR23" s="253" t="str">
        <f>IF(ISERROR(VLOOKUP($B23&amp;$AW$4&amp;BB$15,【進行】結果入力表!$Q$7:$V$150,3,FALSE)),"",VLOOKUP($B23&amp;$AW$4&amp;BB$15,【進行】結果入力表!$Q$7:$V$150,3,FALSE))</f>
        <v/>
      </c>
      <c r="BS23" s="15"/>
      <c r="BT23" s="254">
        <f t="shared" si="79"/>
        <v>0</v>
      </c>
      <c r="BU23" s="254">
        <f t="shared" si="79"/>
        <v>0</v>
      </c>
      <c r="BV23" s="254">
        <f t="shared" si="80"/>
        <v>0</v>
      </c>
      <c r="BW23" s="254">
        <f t="shared" si="81"/>
        <v>0</v>
      </c>
      <c r="BX23" s="254">
        <f t="shared" si="82"/>
        <v>5</v>
      </c>
      <c r="BY23" s="254" t="str">
        <f t="shared" si="83"/>
        <v/>
      </c>
      <c r="BZ23" s="254" t="str">
        <f t="shared" si="84"/>
        <v>SBC</v>
      </c>
      <c r="CA23" s="254">
        <f t="shared" si="85"/>
        <v>0</v>
      </c>
      <c r="CB23" s="254"/>
      <c r="CC23" s="68" t="str">
        <f>IF(B23="","",COUNTIF(F23:BC23,"w"))</f>
        <v/>
      </c>
      <c r="CD23" s="69" t="str">
        <f>IF(B23="","",COUNT(F23,N23,AH23,X23,AR23,BB23))</f>
        <v/>
      </c>
      <c r="CE23" s="238" t="str">
        <f>IF(CC23="","",CC23*180+SUM(F23,N23,AH23,X23,AR23,BB23)*180/E23)</f>
        <v/>
      </c>
      <c r="CF23" s="70" t="str">
        <f>IF(B23="","",CC23*100000+CE23)</f>
        <v/>
      </c>
      <c r="CG23" s="15"/>
      <c r="CH23" s="15"/>
      <c r="CS23" s="8">
        <f>SUM(CM23:CR23)</f>
        <v>0</v>
      </c>
    </row>
    <row r="24" spans="1:97" ht="17.25" customHeight="1">
      <c r="A24" s="383"/>
      <c r="B24" s="390" t="s">
        <v>61</v>
      </c>
      <c r="C24" s="391"/>
      <c r="D24" s="392"/>
      <c r="E24" s="100"/>
      <c r="F24" s="364"/>
      <c r="G24" s="346"/>
      <c r="H24" s="27">
        <f>IF(COUNTBLANK(H16:H23)=8,"",SUM(H16:H23))</f>
        <v>3</v>
      </c>
      <c r="I24" s="27">
        <f>IF(COUNTBLANK(I16:I23)=8,"",SUM(I16:I23))</f>
        <v>3</v>
      </c>
      <c r="J24" s="365">
        <f>IF($B16="","",SUM(J16:J23))</f>
        <v>717</v>
      </c>
      <c r="K24" s="366">
        <f>IF($B16="","",SUM(K16:K23))</f>
        <v>0</v>
      </c>
      <c r="L24" s="345">
        <f>IF(COUNTBLANK(L16:L23)=8,"",SUM(L16:L23))</f>
        <v>757</v>
      </c>
      <c r="M24" s="360">
        <f>IF($B16="","",SUM(M16:M23))</f>
        <v>0</v>
      </c>
      <c r="N24" s="364"/>
      <c r="O24" s="346"/>
      <c r="P24" s="155">
        <f>SUM(P16:P23)</f>
        <v>4</v>
      </c>
      <c r="Q24" s="155">
        <f>SUM(Q16:Q23)</f>
        <v>2</v>
      </c>
      <c r="R24" s="27">
        <f>IF(COUNTBLANK(R16:R23)=8,"",SUM(H24,P24))</f>
        <v>7</v>
      </c>
      <c r="S24" s="27">
        <f>IF(COUNTBLANK(S16:S23)=8,"",SUM(I24,Q24))</f>
        <v>5</v>
      </c>
      <c r="T24" s="365">
        <f>IF($B16="","",SUM(T16:T23))</f>
        <v>1686</v>
      </c>
      <c r="U24" s="366">
        <f>IF($B16="","",SUM(U16:U23))</f>
        <v>0</v>
      </c>
      <c r="V24" s="345">
        <f>IF(COUNTBLANK(V16:V23)=8,"",SUM(V16:V23))</f>
        <v>1766</v>
      </c>
      <c r="W24" s="360">
        <f>IF($B16="","",SUM(W16:W23))</f>
        <v>0</v>
      </c>
      <c r="X24" s="364"/>
      <c r="Y24" s="346"/>
      <c r="Z24" s="155">
        <f>SUM(Z16:Z23)</f>
        <v>4</v>
      </c>
      <c r="AA24" s="155">
        <f>SUM(AA16:AA23)</f>
        <v>2</v>
      </c>
      <c r="AB24" s="27">
        <f>IF(COUNTBLANK(AB16:AB23)=8,"",SUM(R24,Z24))</f>
        <v>11</v>
      </c>
      <c r="AC24" s="27">
        <f>IF(COUNTBLANK(AC16:AC23)=8,"",SUM(S24,AA24))</f>
        <v>7</v>
      </c>
      <c r="AD24" s="365">
        <f>IF($B16="","",SUM(AD16:AD23))</f>
        <v>2468</v>
      </c>
      <c r="AE24" s="366">
        <f>IF($B16="","",SUM(AE16:AE23))</f>
        <v>0</v>
      </c>
      <c r="AF24" s="345">
        <f>IF(COUNTBLANK(AF16:AF23)=8,"",SUM(AF16:AF23))</f>
        <v>2551.1428571428573</v>
      </c>
      <c r="AG24" s="360">
        <f>IF($B16="","",SUM(AG16:AG23))</f>
        <v>0</v>
      </c>
      <c r="AH24" s="364"/>
      <c r="AI24" s="346"/>
      <c r="AJ24" s="155">
        <f>SUM(AJ16:AJ23)</f>
        <v>4</v>
      </c>
      <c r="AK24" s="155">
        <f>SUM(AK16:AK23)</f>
        <v>2</v>
      </c>
      <c r="AL24" s="27">
        <f>IF(COUNTBLANK(AL16:AL23)=8,"",SUM(AB24,AJ24))</f>
        <v>15</v>
      </c>
      <c r="AM24" s="27">
        <f>IF(COUNTBLANK(AM16:AM23)=8,"",SUM(AC24,AK24))</f>
        <v>9</v>
      </c>
      <c r="AN24" s="365">
        <f>IF($B16="","",SUM(AN16:AN23))</f>
        <v>3477</v>
      </c>
      <c r="AO24" s="366">
        <f>IF($B16="","",SUM(AO16:AO23))</f>
        <v>0</v>
      </c>
      <c r="AP24" s="345">
        <f>IF(COUNTBLANK(AP16:AP23)=8,"",SUM(AP16:AP23))</f>
        <v>3593</v>
      </c>
      <c r="AQ24" s="360">
        <f>IF($B16="","",SUM(AQ16:AQ23))</f>
        <v>0</v>
      </c>
      <c r="AR24" s="364"/>
      <c r="AS24" s="346"/>
      <c r="AT24" s="155">
        <f>SUM(AT16:AT23)</f>
        <v>4</v>
      </c>
      <c r="AU24" s="155">
        <f>SUM(AU16:AU23)</f>
        <v>2</v>
      </c>
      <c r="AV24" s="27">
        <f>IF(COUNTBLANK(AV16:AV23)=8,"",SUM(AL24,AT24))</f>
        <v>19</v>
      </c>
      <c r="AW24" s="27">
        <f>IF(COUNTBLANK(AW16:AW23)=8,"",SUM(AM24,AU24))</f>
        <v>11</v>
      </c>
      <c r="AX24" s="365">
        <f>IF($B16="","",SUM(AX16:AX23))</f>
        <v>4251</v>
      </c>
      <c r="AY24" s="366">
        <f>IF($B16="","",SUM(AY16:AY23))</f>
        <v>0</v>
      </c>
      <c r="AZ24" s="345">
        <f>IF(COUNTBLANK(AZ16:AZ23)=8,"",SUM(AZ16:AZ23))</f>
        <v>4407</v>
      </c>
      <c r="BA24" s="360">
        <f>IF($B16="","",SUM(BA16:BA23))</f>
        <v>0</v>
      </c>
      <c r="BB24" s="364"/>
      <c r="BC24" s="346"/>
      <c r="BD24" s="155">
        <f>SUM(BD16:BD23)</f>
        <v>3</v>
      </c>
      <c r="BE24" s="155">
        <f>SUM(BE16:BE23)</f>
        <v>3</v>
      </c>
      <c r="BF24" s="27">
        <f>IF(COUNTBLANK(BF16:BF23)=8,"",SUM(AV24,BD24))</f>
        <v>22</v>
      </c>
      <c r="BG24" s="27">
        <f>IF(COUNTBLANK(BG16:BG23)=8,"",SUM(AW24,BE24))</f>
        <v>14</v>
      </c>
      <c r="BH24" s="365">
        <f>IF(COUNTIF(BH16:BI23,"")=16,"",SUM(BH16:BH23))</f>
        <v>5049</v>
      </c>
      <c r="BI24" s="366">
        <f>IF($B16="","",SUM(BI16:BI23))</f>
        <v>0</v>
      </c>
      <c r="BJ24" s="345">
        <f>IF(COUNTBLANK(BJ16:BJ23)=8,"",SUM(BJ16:BJ23))</f>
        <v>5245</v>
      </c>
      <c r="BK24" s="346">
        <f>IF($B16="","",SUM(BK16:BK23))</f>
        <v>0</v>
      </c>
      <c r="BL24" s="28"/>
      <c r="BM24" s="29"/>
      <c r="BN24" s="30"/>
      <c r="BO24" s="30"/>
      <c r="BP24" s="30"/>
      <c r="BQ24" s="30"/>
      <c r="BR24" s="31"/>
      <c r="BS24" s="15"/>
      <c r="BT24" s="254"/>
      <c r="BU24" s="254"/>
      <c r="BV24" s="254"/>
      <c r="BW24" s="254"/>
      <c r="BX24" s="254"/>
      <c r="BY24" s="254"/>
      <c r="BZ24" s="254" t="str">
        <f t="shared" si="84"/>
        <v>SBC</v>
      </c>
      <c r="CA24" s="254"/>
      <c r="CB24" s="254"/>
      <c r="CC24" s="65">
        <f>SUM(CC16:CC23)</f>
        <v>22</v>
      </c>
      <c r="CD24" s="66">
        <f>SUM(CD16:CD23)</f>
        <v>14</v>
      </c>
      <c r="CE24" s="66">
        <f>SUM(CE16:CE23)</f>
        <v>5245</v>
      </c>
      <c r="CF24" s="67">
        <f>SUM(CF16:CF23)</f>
        <v>2205245</v>
      </c>
      <c r="CG24" s="15"/>
      <c r="CH24" s="15"/>
    </row>
    <row r="25" spans="1:97" ht="17.25" customHeight="1">
      <c r="A25" s="381" t="str">
        <f>IF(【準備】登録!B13="","",【準備】登録!B13)</f>
        <v>NRC</v>
      </c>
      <c r="B25" s="384" t="str">
        <f>B5</f>
        <v>選手名</v>
      </c>
      <c r="C25" s="385"/>
      <c r="D25" s="386"/>
      <c r="E25" s="96" t="str">
        <f>E5</f>
        <v>持点</v>
      </c>
      <c r="F25" s="396" t="str">
        <f>A5</f>
        <v>HRC</v>
      </c>
      <c r="G25" s="362"/>
      <c r="H25" s="20" t="s">
        <v>21</v>
      </c>
      <c r="I25" s="20" t="s">
        <v>47</v>
      </c>
      <c r="J25" s="370" t="s">
        <v>48</v>
      </c>
      <c r="K25" s="371"/>
      <c r="L25" s="361" t="s">
        <v>48</v>
      </c>
      <c r="M25" s="362"/>
      <c r="N25" s="396" t="str">
        <f>A15</f>
        <v>SBC</v>
      </c>
      <c r="O25" s="362"/>
      <c r="P25" s="150" t="s">
        <v>21</v>
      </c>
      <c r="Q25" s="150" t="s">
        <v>47</v>
      </c>
      <c r="R25" s="20" t="s">
        <v>21</v>
      </c>
      <c r="S25" s="20" t="s">
        <v>47</v>
      </c>
      <c r="T25" s="370" t="s">
        <v>48</v>
      </c>
      <c r="U25" s="371"/>
      <c r="V25" s="361" t="s">
        <v>48</v>
      </c>
      <c r="W25" s="362"/>
      <c r="X25" s="396" t="str">
        <f>A5</f>
        <v>HRC</v>
      </c>
      <c r="Y25" s="362"/>
      <c r="Z25" s="150" t="s">
        <v>21</v>
      </c>
      <c r="AA25" s="150" t="s">
        <v>47</v>
      </c>
      <c r="AB25" s="20" t="s">
        <v>21</v>
      </c>
      <c r="AC25" s="20" t="s">
        <v>47</v>
      </c>
      <c r="AD25" s="370" t="s">
        <v>48</v>
      </c>
      <c r="AE25" s="371"/>
      <c r="AF25" s="361" t="s">
        <v>48</v>
      </c>
      <c r="AG25" s="362"/>
      <c r="AH25" s="396" t="str">
        <f>A15</f>
        <v>SBC</v>
      </c>
      <c r="AI25" s="362"/>
      <c r="AJ25" s="150" t="s">
        <v>21</v>
      </c>
      <c r="AK25" s="150" t="s">
        <v>47</v>
      </c>
      <c r="AL25" s="20" t="s">
        <v>21</v>
      </c>
      <c r="AM25" s="20" t="s">
        <v>47</v>
      </c>
      <c r="AN25" s="370" t="s">
        <v>48</v>
      </c>
      <c r="AO25" s="371"/>
      <c r="AP25" s="361" t="s">
        <v>48</v>
      </c>
      <c r="AQ25" s="362"/>
      <c r="AR25" s="396" t="str">
        <f>A5</f>
        <v>HRC</v>
      </c>
      <c r="AS25" s="362"/>
      <c r="AT25" s="150" t="s">
        <v>21</v>
      </c>
      <c r="AU25" s="150" t="s">
        <v>47</v>
      </c>
      <c r="AV25" s="20" t="s">
        <v>21</v>
      </c>
      <c r="AW25" s="20" t="s">
        <v>47</v>
      </c>
      <c r="AX25" s="370" t="s">
        <v>48</v>
      </c>
      <c r="AY25" s="371"/>
      <c r="AZ25" s="361" t="s">
        <v>48</v>
      </c>
      <c r="BA25" s="362"/>
      <c r="BB25" s="396" t="str">
        <f>A15</f>
        <v>SBC</v>
      </c>
      <c r="BC25" s="362"/>
      <c r="BD25" s="150" t="s">
        <v>21</v>
      </c>
      <c r="BE25" s="150" t="s">
        <v>47</v>
      </c>
      <c r="BF25" s="20" t="s">
        <v>21</v>
      </c>
      <c r="BG25" s="20" t="s">
        <v>47</v>
      </c>
      <c r="BH25" s="370" t="s">
        <v>48</v>
      </c>
      <c r="BI25" s="371"/>
      <c r="BJ25" s="361" t="s">
        <v>48</v>
      </c>
      <c r="BK25" s="362"/>
      <c r="BL25" s="21" t="s">
        <v>49</v>
      </c>
      <c r="BM25" s="32" t="str">
        <f t="shared" ref="BM25:BR25" si="87">BM$5</f>
        <v>1G</v>
      </c>
      <c r="BN25" s="33" t="str">
        <f t="shared" si="87"/>
        <v>2G</v>
      </c>
      <c r="BO25" s="33" t="str">
        <f t="shared" si="87"/>
        <v>3G</v>
      </c>
      <c r="BP25" s="33" t="str">
        <f t="shared" si="87"/>
        <v>4G</v>
      </c>
      <c r="BQ25" s="33" t="str">
        <f t="shared" si="87"/>
        <v>5G</v>
      </c>
      <c r="BR25" s="34" t="str">
        <f t="shared" si="87"/>
        <v>6G</v>
      </c>
      <c r="BS25" s="15"/>
      <c r="BT25" s="254"/>
      <c r="BU25" s="254"/>
      <c r="BV25" s="254"/>
      <c r="BW25" s="254"/>
      <c r="BX25" s="254"/>
      <c r="BY25" s="254"/>
      <c r="BZ25" s="254"/>
      <c r="CA25" s="254"/>
      <c r="CB25" s="254"/>
      <c r="CC25" s="60" t="str">
        <f>CC$5</f>
        <v>W</v>
      </c>
      <c r="CD25" s="61" t="str">
        <f>CD$5</f>
        <v>L</v>
      </c>
      <c r="CE25" s="61" t="str">
        <f>CE$5</f>
        <v>TP</v>
      </c>
      <c r="CF25" s="62" t="str">
        <f>CF$5</f>
        <v>R_P</v>
      </c>
      <c r="CG25" s="15"/>
      <c r="CH25" s="15"/>
    </row>
    <row r="26" spans="1:97" ht="15" customHeight="1">
      <c r="A26" s="382"/>
      <c r="B26" s="387" t="str">
        <f>IF(【準備】登録!AK5=0,"",【準備】登録!AK5)</f>
        <v>吉向翔平</v>
      </c>
      <c r="C26" s="388"/>
      <c r="D26" s="389"/>
      <c r="E26" s="97">
        <f>【準備】登録!F13</f>
        <v>180</v>
      </c>
      <c r="F26" s="358" t="str">
        <f>IF(ISERROR(VLOOKUP($B26&amp;$I$4&amp;F$25,【進行】結果入力表!$Q$7:$V$150,2,FALSE)),"",VLOOKUP($B26&amp;$I$4&amp;F$25,【進行】結果入力表!$Q$7:$V$150,2,FALSE))</f>
        <v>w</v>
      </c>
      <c r="G26" s="352"/>
      <c r="H26" s="22">
        <f t="shared" ref="H26:H33" si="88">IF(F26="","",IF(F26="w",1,0))</f>
        <v>1</v>
      </c>
      <c r="I26" s="22">
        <f t="shared" ref="I26:I33" si="89">IF(F26="","",IF(F26="w",0,1))</f>
        <v>0</v>
      </c>
      <c r="J26" s="356">
        <f t="shared" ref="J26:J33" si="90">IF(F26="","",IF(F26="w",E26,F26))</f>
        <v>180</v>
      </c>
      <c r="K26" s="357"/>
      <c r="L26" s="351">
        <f t="shared" ref="L26:L33" si="91">IF($F26="","",J26/$E26*180)</f>
        <v>180</v>
      </c>
      <c r="M26" s="367"/>
      <c r="N26" s="358">
        <f>IF(ISERROR(VLOOKUP($B26&amp;$I$4&amp;N$25,【進行】結果入力表!$Q$7:$V$150,2,FALSE)),"",VLOOKUP($B26&amp;$I$4&amp;N$25,【進行】結果入力表!$Q$7:$V$150,2,FALSE))</f>
        <v>140</v>
      </c>
      <c r="O26" s="352"/>
      <c r="P26" s="151">
        <f t="shared" ref="P26:P33" si="92">IF(N26="","",IF(N26="w",1,0))</f>
        <v>0</v>
      </c>
      <c r="Q26" s="151">
        <f t="shared" ref="Q26:Q33" si="93">IF(N26="","",IF(N26="w",0,1))</f>
        <v>1</v>
      </c>
      <c r="R26" s="22">
        <f t="shared" ref="R26:R33" si="94">IF(N26="","",SUM(H26,P26))</f>
        <v>1</v>
      </c>
      <c r="S26" s="22">
        <f t="shared" ref="S26:S33" si="95">IF(N26="","",SUM(I26,Q26))</f>
        <v>1</v>
      </c>
      <c r="T26" s="356">
        <f t="shared" ref="T26:T33" si="96">IF(N26="","",IF(N26="w",E26+J26,N26+J26))</f>
        <v>320</v>
      </c>
      <c r="U26" s="357"/>
      <c r="V26" s="351">
        <f t="shared" ref="V26:V33" si="97">IF($N26="","",T26/$E26*180)</f>
        <v>320</v>
      </c>
      <c r="W26" s="367"/>
      <c r="X26" s="358">
        <f>IF(ISERROR(VLOOKUP($B26&amp;$AC$4&amp;X$25,【進行】結果入力表!$Q$7:$V$150,2,FALSE)),"",VLOOKUP($B26&amp;$AC$4&amp;X$25,【進行】結果入力表!$Q$7:$V$150,2,FALSE))</f>
        <v>86</v>
      </c>
      <c r="Y26" s="352"/>
      <c r="Z26" s="151">
        <f t="shared" ref="Z26:Z33" si="98">IF(X26="","",IF(X26="w",1,0))</f>
        <v>0</v>
      </c>
      <c r="AA26" s="151">
        <f t="shared" ref="AA26:AA33" si="99">IF(X26="","",IF(X26="w",0,1))</f>
        <v>1</v>
      </c>
      <c r="AB26" s="22">
        <f t="shared" ref="AB26:AB33" si="100">IF(X26="","",SUM(R26,Z26))</f>
        <v>1</v>
      </c>
      <c r="AC26" s="22">
        <f t="shared" ref="AC26:AC33" si="101">IF(X26="","",SUM(S26,AA26))</f>
        <v>2</v>
      </c>
      <c r="AD26" s="356">
        <f t="shared" ref="AD26:AD33" si="102">IF(X26="","",IF(X26="w",T26+E26,X26+T26))</f>
        <v>406</v>
      </c>
      <c r="AE26" s="357"/>
      <c r="AF26" s="351">
        <f t="shared" ref="AF26:AF33" si="103">IF($X26="","",AD26/$E26*180)</f>
        <v>406</v>
      </c>
      <c r="AG26" s="367"/>
      <c r="AH26" s="358">
        <f>IF(ISERROR(VLOOKUP($B26&amp;$AC$4&amp;AH$25,【進行】結果入力表!$Q$7:$V$150,2,FALSE)),"",VLOOKUP($B26&amp;$AC$4&amp;AH$25,【進行】結果入力表!$Q$7:$V$150,2,FALSE))</f>
        <v>145</v>
      </c>
      <c r="AI26" s="352"/>
      <c r="AJ26" s="151">
        <f t="shared" ref="AJ26:AJ33" si="104">IF(AH26="","",IF(AH26="w",1,0))</f>
        <v>0</v>
      </c>
      <c r="AK26" s="151">
        <f t="shared" ref="AK26:AK33" si="105">IF(AH26="","",IF(AH26="w",0,1))</f>
        <v>1</v>
      </c>
      <c r="AL26" s="22">
        <f t="shared" ref="AL26:AL33" si="106">IF(AH26="","",SUM(AB26,AJ26))</f>
        <v>1</v>
      </c>
      <c r="AM26" s="22">
        <f t="shared" ref="AM26:AM33" si="107">IF(AH26="","",SUM(AC26,AK26))</f>
        <v>3</v>
      </c>
      <c r="AN26" s="356">
        <f t="shared" ref="AN26:AN33" si="108">IF(AH26="","",IF(AH26="w",AD26+E26,AH26+AD26))</f>
        <v>551</v>
      </c>
      <c r="AO26" s="357"/>
      <c r="AP26" s="351">
        <f t="shared" ref="AP26:AP33" si="109">IF($AH26="","",AN26/$E26*180)</f>
        <v>551</v>
      </c>
      <c r="AQ26" s="367"/>
      <c r="AR26" s="358">
        <f>IF(ISERROR(VLOOKUP($B26&amp;$AW$4&amp;AR$25,【進行】結果入力表!$Q$7:$V$150,2,FALSE)),"",VLOOKUP($B26&amp;$AW$4&amp;AR$25,【進行】結果入力表!$Q$7:$V$150,2,FALSE))</f>
        <v>95</v>
      </c>
      <c r="AS26" s="352"/>
      <c r="AT26" s="151">
        <f t="shared" ref="AT26:AT33" si="110">IF(AR26="","",IF(AR26="w",1,0))</f>
        <v>0</v>
      </c>
      <c r="AU26" s="151">
        <f t="shared" ref="AU26:AU33" si="111">IF(AR26="","",IF(AR26="w",0,1))</f>
        <v>1</v>
      </c>
      <c r="AV26" s="22">
        <f t="shared" ref="AV26:AV33" si="112">IF(AR26="","",IF(AR26="w",AL26+1,AL26))</f>
        <v>1</v>
      </c>
      <c r="AW26" s="22">
        <f t="shared" ref="AW26:AW33" si="113">IF(AR26="","",IF(AR26="w",AM26,AM26+1))</f>
        <v>4</v>
      </c>
      <c r="AX26" s="356">
        <f t="shared" ref="AX26:AX33" si="114">IF(AR26="","",IF(AR26="w",AN26+E26,AR26+AN26))</f>
        <v>646</v>
      </c>
      <c r="AY26" s="357"/>
      <c r="AZ26" s="351">
        <f t="shared" ref="AZ26:AZ33" si="115">IF($AR26="","",AX26/$E26*180)</f>
        <v>646</v>
      </c>
      <c r="BA26" s="399"/>
      <c r="BB26" s="358">
        <f>IF(ISERROR(VLOOKUP($B26&amp;$AW$4&amp;BB$25,【進行】結果入力表!$Q$7:$V$150,2,FALSE)),"",VLOOKUP($B26&amp;$AW$4&amp;BB$25,【進行】結果入力表!$Q$7:$V$150,2,FALSE))</f>
        <v>42</v>
      </c>
      <c r="BC26" s="352"/>
      <c r="BD26" s="151">
        <f t="shared" ref="BD26:BD33" si="116">IF(BB26="","",IF(BB26="w",1,0))</f>
        <v>0</v>
      </c>
      <c r="BE26" s="151">
        <f t="shared" ref="BE26:BE33" si="117">IF(BB26="","",IF(BB26="w",0,1))</f>
        <v>1</v>
      </c>
      <c r="BF26" s="22">
        <f t="shared" ref="BF26:BF33" si="118">IF(BB26="","",IF(BB26="w",AV26+1,AV26))</f>
        <v>1</v>
      </c>
      <c r="BG26" s="22">
        <f t="shared" ref="BG26:BG33" si="119">IF(BB26="","",IF(BB26="w",AW26,AW26+1))</f>
        <v>5</v>
      </c>
      <c r="BH26" s="356">
        <f t="shared" ref="BH26:BH33" si="120">IF(BB26="","",IF(BB26="w",AX26+E26,BB26+AX26))</f>
        <v>688</v>
      </c>
      <c r="BI26" s="357"/>
      <c r="BJ26" s="351">
        <f t="shared" ref="BJ26:BJ33" si="121">IF($BB26="","",BH26/$E26*180)</f>
        <v>688</v>
      </c>
      <c r="BK26" s="352"/>
      <c r="BL26" s="91">
        <f t="shared" ref="BL26:BL33" si="122">IF(SUM(H26:I26,R26:S26)=0,"",IF(B$13="",RANK($CF$26:$CF$32,$CF$26:$CF$32,0),RANK($CF$26:$CF$33,$CF$26:$CF$33,0)))</f>
        <v>4</v>
      </c>
      <c r="BM26" s="245">
        <f>IF(ISERROR(VLOOKUP($B26&amp;$I$4&amp;F$25,【進行】結果入力表!$Q$7:$V$150,3,FALSE)),"",VLOOKUP($B26&amp;$I$4&amp;F$25,【進行】結果入力表!$Q$7:$V$150,3,FALSE))</f>
        <v>120</v>
      </c>
      <c r="BN26" s="246" t="str">
        <f>IF(ISERROR(VLOOKUP($B26&amp;$I$4&amp;N$25,【進行】結果入力表!$Q$7:$V$150,3,FALSE)),"",VLOOKUP($B26&amp;$I$4&amp;N$25,【進行】結果入力表!$Q$7:$V$150,3,FALSE))</f>
        <v/>
      </c>
      <c r="BO26" s="246" t="str">
        <f>IF(ISERROR(VLOOKUP($B26&amp;$AC$4&amp;X$25,【進行】結果入力表!$Q$7:$V$150,3,FALSE)),"",VLOOKUP($B26&amp;$AC$4&amp;X$25,【進行】結果入力表!$Q$7:$V$150,3,FALSE))</f>
        <v/>
      </c>
      <c r="BP26" s="246" t="str">
        <f>IF(ISERROR(VLOOKUP($B26&amp;$AC$4&amp;AH$25,【進行】結果入力表!$Q$7:$V$150,3,FALSE)),"",VLOOKUP($B26&amp;$AC$4&amp;AH$25,【進行】結果入力表!$Q$7:$V$150,3,FALSE))</f>
        <v/>
      </c>
      <c r="BQ26" s="246" t="str">
        <f>IF(ISERROR(VLOOKUP($B26&amp;$AW$4&amp;AR$25,【進行】結果入力表!$Q$7:$V$150,3,FALSE)),"",VLOOKUP($B26&amp;$AW$4&amp;AR$25,【進行】結果入力表!$Q$7:$V$150,3,FALSE))</f>
        <v/>
      </c>
      <c r="BR26" s="247" t="str">
        <f>IF(ISERROR(VLOOKUP($B26&amp;$AW$4&amp;BB$25,【進行】結果入力表!$Q$7:$V$150,3,FALSE)),"",VLOOKUP($B26&amp;$AW$4&amp;BB$25,【進行】結果入力表!$Q$7:$V$150,3,FALSE))</f>
        <v/>
      </c>
      <c r="BS26" s="15"/>
      <c r="BT26" s="254">
        <f t="shared" ref="BT26:BU33" si="123">COUNTIF($BM26:$BR26,BT$5)</f>
        <v>0</v>
      </c>
      <c r="BU26" s="254">
        <f t="shared" si="123"/>
        <v>0</v>
      </c>
      <c r="BV26" s="254">
        <f t="shared" ref="BV26:BV33" si="124">MAX($BM26:$BR26)</f>
        <v>120</v>
      </c>
      <c r="BW26" s="254">
        <f t="shared" ref="BW26:BW33" si="125">BT26*10000+BU26*1000+BV26</f>
        <v>120</v>
      </c>
      <c r="BX26" s="254">
        <f t="shared" ref="BX26:BX33" si="126">RANK(BW26,$BW$6:$BW$33)</f>
        <v>1</v>
      </c>
      <c r="BY26" s="254" t="str">
        <f t="shared" ref="BY26:BY33" si="127">B26</f>
        <v>吉向翔平</v>
      </c>
      <c r="BZ26" s="254" t="str">
        <f t="shared" ref="BZ26:BZ33" si="128">$A$25</f>
        <v>NRC</v>
      </c>
      <c r="CA26" s="254">
        <f t="shared" ref="CA26:CA33" si="129">IF(BT26&gt;0,"A"&amp;E26,IF(BU26&gt;0,"B"&amp;E26,BV26))</f>
        <v>120</v>
      </c>
      <c r="CB26" s="254"/>
      <c r="CC26" s="63">
        <f>COUNTIF(F26:BC26,"w")</f>
        <v>1</v>
      </c>
      <c r="CD26" s="59">
        <f>COUNT(F26,N26,AH26,X26,AR26,BB26)</f>
        <v>5</v>
      </c>
      <c r="CE26" s="237">
        <f>CC26*180+SUM(F26,N26,AH26,X26,AR26,BB26)*180/E26</f>
        <v>688</v>
      </c>
      <c r="CF26" s="64">
        <f>CC26*100000+CE26</f>
        <v>100688</v>
      </c>
      <c r="CG26" s="15"/>
      <c r="CH26" s="15"/>
      <c r="CS26" s="8">
        <f>SUM(CM26:CR26)</f>
        <v>0</v>
      </c>
    </row>
    <row r="27" spans="1:97" ht="15" customHeight="1">
      <c r="A27" s="382"/>
      <c r="B27" s="378" t="str">
        <f>IF(【準備】登録!AK6=0,"",【準備】登録!AK6)</f>
        <v>岩本剛</v>
      </c>
      <c r="C27" s="379"/>
      <c r="D27" s="380"/>
      <c r="E27" s="98">
        <f>【準備】登録!I13</f>
        <v>180</v>
      </c>
      <c r="F27" s="359">
        <f>IF(ISERROR(VLOOKUP($B27&amp;$I$4&amp;F$25,【進行】結果入力表!$Q$7:$V$150,2,FALSE)),"",VLOOKUP($B27&amp;$I$4&amp;F$25,【進行】結果入力表!$Q$7:$V$150,2,FALSE))</f>
        <v>172</v>
      </c>
      <c r="G27" s="342"/>
      <c r="H27" s="23">
        <f t="shared" si="88"/>
        <v>0</v>
      </c>
      <c r="I27" s="23">
        <f t="shared" si="89"/>
        <v>1</v>
      </c>
      <c r="J27" s="349">
        <f t="shared" si="90"/>
        <v>172</v>
      </c>
      <c r="K27" s="350"/>
      <c r="L27" s="341">
        <f t="shared" si="91"/>
        <v>172</v>
      </c>
      <c r="M27" s="363"/>
      <c r="N27" s="359" t="str">
        <f>IF(ISERROR(VLOOKUP($B27&amp;$I$4&amp;N$25,【進行】結果入力表!$Q$7:$V$150,2,FALSE)),"",VLOOKUP($B27&amp;$I$4&amp;N$25,【進行】結果入力表!$Q$7:$V$150,2,FALSE))</f>
        <v>w</v>
      </c>
      <c r="O27" s="342"/>
      <c r="P27" s="152">
        <f t="shared" si="92"/>
        <v>1</v>
      </c>
      <c r="Q27" s="152">
        <f t="shared" si="93"/>
        <v>0</v>
      </c>
      <c r="R27" s="23">
        <f t="shared" si="94"/>
        <v>1</v>
      </c>
      <c r="S27" s="23">
        <f t="shared" si="95"/>
        <v>1</v>
      </c>
      <c r="T27" s="349">
        <f t="shared" si="96"/>
        <v>352</v>
      </c>
      <c r="U27" s="350"/>
      <c r="V27" s="341">
        <f t="shared" si="97"/>
        <v>352</v>
      </c>
      <c r="W27" s="363"/>
      <c r="X27" s="359" t="str">
        <f>IF(ISERROR(VLOOKUP($B27&amp;$AC$4&amp;X$25,【進行】結果入力表!$Q$7:$V$150,2,FALSE)),"",VLOOKUP($B27&amp;$AC$4&amp;X$25,【進行】結果入力表!$Q$7:$V$150,2,FALSE))</f>
        <v>w</v>
      </c>
      <c r="Y27" s="342"/>
      <c r="Z27" s="152">
        <f t="shared" si="98"/>
        <v>1</v>
      </c>
      <c r="AA27" s="152">
        <f t="shared" si="99"/>
        <v>0</v>
      </c>
      <c r="AB27" s="23">
        <f t="shared" si="100"/>
        <v>2</v>
      </c>
      <c r="AC27" s="23">
        <f t="shared" si="101"/>
        <v>1</v>
      </c>
      <c r="AD27" s="349">
        <f t="shared" si="102"/>
        <v>532</v>
      </c>
      <c r="AE27" s="350"/>
      <c r="AF27" s="341">
        <f t="shared" si="103"/>
        <v>532</v>
      </c>
      <c r="AG27" s="363"/>
      <c r="AH27" s="359">
        <f>IF(ISERROR(VLOOKUP($B27&amp;$AC$4&amp;AH$25,【進行】結果入力表!$Q$7:$V$150,2,FALSE)),"",VLOOKUP($B27&amp;$AC$4&amp;AH$25,【進行】結果入力表!$Q$7:$V$150,2,FALSE))</f>
        <v>45</v>
      </c>
      <c r="AI27" s="342"/>
      <c r="AJ27" s="152">
        <f t="shared" si="104"/>
        <v>0</v>
      </c>
      <c r="AK27" s="152">
        <f t="shared" si="105"/>
        <v>1</v>
      </c>
      <c r="AL27" s="23">
        <f t="shared" si="106"/>
        <v>2</v>
      </c>
      <c r="AM27" s="23">
        <f t="shared" si="107"/>
        <v>2</v>
      </c>
      <c r="AN27" s="349">
        <f t="shared" si="108"/>
        <v>577</v>
      </c>
      <c r="AO27" s="350"/>
      <c r="AP27" s="341">
        <f t="shared" si="109"/>
        <v>577</v>
      </c>
      <c r="AQ27" s="363"/>
      <c r="AR27" s="359">
        <f>IF(ISERROR(VLOOKUP($B27&amp;$AW$4&amp;AR$25,【進行】結果入力表!$Q$7:$V$150,2,FALSE)),"",VLOOKUP($B27&amp;$AW$4&amp;AR$25,【進行】結果入力表!$Q$7:$V$150,2,FALSE))</f>
        <v>165</v>
      </c>
      <c r="AS27" s="342"/>
      <c r="AT27" s="152">
        <f t="shared" si="110"/>
        <v>0</v>
      </c>
      <c r="AU27" s="152">
        <f t="shared" si="111"/>
        <v>1</v>
      </c>
      <c r="AV27" s="23">
        <f t="shared" si="112"/>
        <v>2</v>
      </c>
      <c r="AW27" s="23">
        <f t="shared" si="113"/>
        <v>3</v>
      </c>
      <c r="AX27" s="349">
        <f t="shared" si="114"/>
        <v>742</v>
      </c>
      <c r="AY27" s="350"/>
      <c r="AZ27" s="341">
        <f t="shared" si="115"/>
        <v>741.99999999999989</v>
      </c>
      <c r="BA27" s="348"/>
      <c r="BB27" s="359" t="str">
        <f>IF(ISERROR(VLOOKUP($B27&amp;$AW$4&amp;BB$25,【進行】結果入力表!$Q$7:$V$150,2,FALSE)),"",VLOOKUP($B27&amp;$AW$4&amp;BB$25,【進行】結果入力表!$Q$7:$V$150,2,FALSE))</f>
        <v>w</v>
      </c>
      <c r="BC27" s="342"/>
      <c r="BD27" s="152">
        <f t="shared" si="116"/>
        <v>1</v>
      </c>
      <c r="BE27" s="152">
        <f t="shared" si="117"/>
        <v>0</v>
      </c>
      <c r="BF27" s="23">
        <f t="shared" si="118"/>
        <v>3</v>
      </c>
      <c r="BG27" s="23">
        <f t="shared" si="119"/>
        <v>3</v>
      </c>
      <c r="BH27" s="349">
        <f t="shared" si="120"/>
        <v>922</v>
      </c>
      <c r="BI27" s="350"/>
      <c r="BJ27" s="341">
        <f t="shared" si="121"/>
        <v>921.99999999999989</v>
      </c>
      <c r="BK27" s="342"/>
      <c r="BL27" s="92">
        <f t="shared" si="122"/>
        <v>2</v>
      </c>
      <c r="BM27" s="248" t="str">
        <f>IF(ISERROR(VLOOKUP($B27&amp;$I$4&amp;F$25,【進行】結果入力表!$Q$7:$V$150,3,FALSE)),"",VLOOKUP($B27&amp;$I$4&amp;F$25,【進行】結果入力表!$Q$7:$V$150,3,FALSE))</f>
        <v/>
      </c>
      <c r="BN27" s="249" t="str">
        <f>IF(ISERROR(VLOOKUP($B27&amp;$I$4&amp;N$25,【進行】結果入力表!$Q$7:$V$150,3,FALSE)),"",VLOOKUP($B27&amp;$I$4&amp;N$25,【進行】結果入力表!$Q$7:$V$150,3,FALSE))</f>
        <v/>
      </c>
      <c r="BO27" s="249" t="str">
        <f>IF(ISERROR(VLOOKUP($B27&amp;$AC$4&amp;X$25,【進行】結果入力表!$Q$7:$V$150,3,FALSE)),"",VLOOKUP($B27&amp;$AC$4&amp;X$25,【進行】結果入力表!$Q$7:$V$150,3,FALSE))</f>
        <v/>
      </c>
      <c r="BP27" s="249" t="str">
        <f>IF(ISERROR(VLOOKUP($B27&amp;$AC$4&amp;AH$25,【進行】結果入力表!$Q$7:$V$150,3,FALSE)),"",VLOOKUP($B27&amp;$AC$4&amp;AH$25,【進行】結果入力表!$Q$7:$V$150,3,FALSE))</f>
        <v/>
      </c>
      <c r="BQ27" s="249" t="str">
        <f>IF(ISERROR(VLOOKUP($B27&amp;$AW$4&amp;AR$25,【進行】結果入力表!$Q$7:$V$150,3,FALSE)),"",VLOOKUP($B27&amp;$AW$4&amp;AR$25,【進行】結果入力表!$Q$7:$V$150,3,FALSE))</f>
        <v/>
      </c>
      <c r="BR27" s="250" t="str">
        <f>IF(ISERROR(VLOOKUP($B27&amp;$AW$4&amp;BB$25,【進行】結果入力表!$Q$7:$V$150,3,FALSE)),"",VLOOKUP($B27&amp;$AW$4&amp;BB$25,【進行】結果入力表!$Q$7:$V$150,3,FALSE))</f>
        <v/>
      </c>
      <c r="BS27" s="15"/>
      <c r="BT27" s="254">
        <f t="shared" si="123"/>
        <v>0</v>
      </c>
      <c r="BU27" s="254">
        <f t="shared" si="123"/>
        <v>0</v>
      </c>
      <c r="BV27" s="254">
        <f t="shared" si="124"/>
        <v>0</v>
      </c>
      <c r="BW27" s="254">
        <f t="shared" si="125"/>
        <v>0</v>
      </c>
      <c r="BX27" s="254">
        <f t="shared" si="126"/>
        <v>5</v>
      </c>
      <c r="BY27" s="254" t="str">
        <f t="shared" si="127"/>
        <v>岩本剛</v>
      </c>
      <c r="BZ27" s="254" t="str">
        <f t="shared" si="128"/>
        <v>NRC</v>
      </c>
      <c r="CA27" s="254">
        <f t="shared" si="129"/>
        <v>0</v>
      </c>
      <c r="CB27" s="254"/>
      <c r="CC27" s="63">
        <f>COUNTIF(F27:BC27,"w")</f>
        <v>3</v>
      </c>
      <c r="CD27" s="59">
        <f>COUNT(F27,N27,AH27,X27,AR27,BB27)</f>
        <v>3</v>
      </c>
      <c r="CE27" s="237">
        <f>CC27*180+SUM(F27,N27,AH27,X27,AR27,BB27)*180/E27</f>
        <v>922</v>
      </c>
      <c r="CF27" s="64">
        <f>CC27*100000+CE27</f>
        <v>300922</v>
      </c>
      <c r="CG27" s="15"/>
      <c r="CH27" s="15"/>
      <c r="CS27" s="8">
        <f t="shared" ref="CS27:CS32" si="130">SUM(CM27:CR27)</f>
        <v>0</v>
      </c>
    </row>
    <row r="28" spans="1:97" ht="15" customHeight="1">
      <c r="A28" s="382"/>
      <c r="B28" s="378" t="str">
        <f>IF(【準備】登録!AK7=0,"",【準備】登録!AK7)</f>
        <v>長谷川進</v>
      </c>
      <c r="C28" s="379"/>
      <c r="D28" s="380"/>
      <c r="E28" s="98">
        <f>【準備】登録!L13</f>
        <v>180</v>
      </c>
      <c r="F28" s="359">
        <f>IF(ISERROR(VLOOKUP($B28&amp;$I$4&amp;F$25,【進行】結果入力表!$Q$7:$V$150,2,FALSE)),"",VLOOKUP($B28&amp;$I$4&amp;F$25,【進行】結果入力表!$Q$7:$V$150,2,FALSE))</f>
        <v>49</v>
      </c>
      <c r="G28" s="342"/>
      <c r="H28" s="24">
        <f t="shared" si="88"/>
        <v>0</v>
      </c>
      <c r="I28" s="24">
        <f t="shared" si="89"/>
        <v>1</v>
      </c>
      <c r="J28" s="349">
        <f t="shared" si="90"/>
        <v>49</v>
      </c>
      <c r="K28" s="350"/>
      <c r="L28" s="341">
        <f t="shared" si="91"/>
        <v>48.999999999999993</v>
      </c>
      <c r="M28" s="363"/>
      <c r="N28" s="359">
        <f>IF(ISERROR(VLOOKUP($B28&amp;$I$4&amp;N$25,【進行】結果入力表!$Q$7:$V$150,2,FALSE)),"",VLOOKUP($B28&amp;$I$4&amp;N$25,【進行】結果入力表!$Q$7:$V$150,2,FALSE))</f>
        <v>43</v>
      </c>
      <c r="O28" s="342"/>
      <c r="P28" s="153">
        <f t="shared" si="92"/>
        <v>0</v>
      </c>
      <c r="Q28" s="153">
        <f t="shared" si="93"/>
        <v>1</v>
      </c>
      <c r="R28" s="24">
        <f t="shared" si="94"/>
        <v>0</v>
      </c>
      <c r="S28" s="24">
        <f t="shared" si="95"/>
        <v>2</v>
      </c>
      <c r="T28" s="349">
        <f t="shared" si="96"/>
        <v>92</v>
      </c>
      <c r="U28" s="350"/>
      <c r="V28" s="341">
        <f t="shared" si="97"/>
        <v>92</v>
      </c>
      <c r="W28" s="363"/>
      <c r="X28" s="359">
        <f>IF(ISERROR(VLOOKUP($B28&amp;$AC$4&amp;X$25,【進行】結果入力表!$Q$7:$V$150,2,FALSE)),"",VLOOKUP($B28&amp;$AC$4&amp;X$25,【進行】結果入力表!$Q$7:$V$150,2,FALSE))</f>
        <v>0</v>
      </c>
      <c r="Y28" s="342"/>
      <c r="Z28" s="153">
        <f t="shared" si="98"/>
        <v>0</v>
      </c>
      <c r="AA28" s="153">
        <f t="shared" si="99"/>
        <v>1</v>
      </c>
      <c r="AB28" s="24">
        <f t="shared" si="100"/>
        <v>0</v>
      </c>
      <c r="AC28" s="24">
        <f t="shared" si="101"/>
        <v>3</v>
      </c>
      <c r="AD28" s="349">
        <f t="shared" si="102"/>
        <v>92</v>
      </c>
      <c r="AE28" s="350"/>
      <c r="AF28" s="341">
        <f t="shared" si="103"/>
        <v>92</v>
      </c>
      <c r="AG28" s="363"/>
      <c r="AH28" s="359" t="str">
        <f>IF(ISERROR(VLOOKUP($B28&amp;$AC$4&amp;AH$25,【進行】結果入力表!$Q$7:$V$150,2,FALSE)),"",VLOOKUP($B28&amp;$AC$4&amp;AH$25,【進行】結果入力表!$Q$7:$V$150,2,FALSE))</f>
        <v>w</v>
      </c>
      <c r="AI28" s="342"/>
      <c r="AJ28" s="153">
        <f t="shared" si="104"/>
        <v>1</v>
      </c>
      <c r="AK28" s="153">
        <f t="shared" si="105"/>
        <v>0</v>
      </c>
      <c r="AL28" s="24">
        <f t="shared" si="106"/>
        <v>1</v>
      </c>
      <c r="AM28" s="24">
        <f t="shared" si="107"/>
        <v>3</v>
      </c>
      <c r="AN28" s="349">
        <f t="shared" si="108"/>
        <v>272</v>
      </c>
      <c r="AO28" s="350"/>
      <c r="AP28" s="341">
        <f t="shared" si="109"/>
        <v>272</v>
      </c>
      <c r="AQ28" s="363"/>
      <c r="AR28" s="359">
        <f>IF(ISERROR(VLOOKUP($B28&amp;$AW$4&amp;AR$25,【進行】結果入力表!$Q$7:$V$150,2,FALSE)),"",VLOOKUP($B28&amp;$AW$4&amp;AR$25,【進行】結果入力表!$Q$7:$V$150,2,FALSE))</f>
        <v>56</v>
      </c>
      <c r="AS28" s="342"/>
      <c r="AT28" s="153">
        <f t="shared" si="110"/>
        <v>0</v>
      </c>
      <c r="AU28" s="153">
        <f t="shared" si="111"/>
        <v>1</v>
      </c>
      <c r="AV28" s="24">
        <f t="shared" si="112"/>
        <v>1</v>
      </c>
      <c r="AW28" s="24">
        <f t="shared" si="113"/>
        <v>4</v>
      </c>
      <c r="AX28" s="349">
        <f t="shared" si="114"/>
        <v>328</v>
      </c>
      <c r="AY28" s="350"/>
      <c r="AZ28" s="341">
        <f t="shared" si="115"/>
        <v>328</v>
      </c>
      <c r="BA28" s="348"/>
      <c r="BB28" s="359" t="str">
        <f>IF(ISERROR(VLOOKUP($B28&amp;$AW$4&amp;BB$25,【進行】結果入力表!$Q$7:$V$150,2,FALSE)),"",VLOOKUP($B28&amp;$AW$4&amp;BB$25,【進行】結果入力表!$Q$7:$V$150,2,FALSE))</f>
        <v>w</v>
      </c>
      <c r="BC28" s="342"/>
      <c r="BD28" s="153">
        <f t="shared" si="116"/>
        <v>1</v>
      </c>
      <c r="BE28" s="153">
        <f t="shared" si="117"/>
        <v>0</v>
      </c>
      <c r="BF28" s="24">
        <f t="shared" si="118"/>
        <v>2</v>
      </c>
      <c r="BG28" s="24">
        <f t="shared" si="119"/>
        <v>4</v>
      </c>
      <c r="BH28" s="349">
        <f t="shared" si="120"/>
        <v>508</v>
      </c>
      <c r="BI28" s="350"/>
      <c r="BJ28" s="341">
        <f t="shared" si="121"/>
        <v>508.00000000000006</v>
      </c>
      <c r="BK28" s="342"/>
      <c r="BL28" s="93">
        <f t="shared" si="122"/>
        <v>3</v>
      </c>
      <c r="BM28" s="248" t="str">
        <f>IF(ISERROR(VLOOKUP($B28&amp;$I$4&amp;F$25,【進行】結果入力表!$Q$7:$V$150,3,FALSE)),"",VLOOKUP($B28&amp;$I$4&amp;F$25,【進行】結果入力表!$Q$7:$V$150,3,FALSE))</f>
        <v/>
      </c>
      <c r="BN28" s="249" t="str">
        <f>IF(ISERROR(VLOOKUP($B28&amp;$I$4&amp;N$25,【進行】結果入力表!$Q$7:$V$150,3,FALSE)),"",VLOOKUP($B28&amp;$I$4&amp;N$25,【進行】結果入力表!$Q$7:$V$150,3,FALSE))</f>
        <v/>
      </c>
      <c r="BO28" s="249" t="str">
        <f>IF(ISERROR(VLOOKUP($B28&amp;$AC$4&amp;X$25,【進行】結果入力表!$Q$7:$V$150,3,FALSE)),"",VLOOKUP($B28&amp;$AC$4&amp;X$25,【進行】結果入力表!$Q$7:$V$150,3,FALSE))</f>
        <v/>
      </c>
      <c r="BP28" s="249" t="str">
        <f>IF(ISERROR(VLOOKUP($B28&amp;$AC$4&amp;AH$25,【進行】結果入力表!$Q$7:$V$150,3,FALSE)),"",VLOOKUP($B28&amp;$AC$4&amp;AH$25,【進行】結果入力表!$Q$7:$V$150,3,FALSE))</f>
        <v/>
      </c>
      <c r="BQ28" s="249" t="str">
        <f>IF(ISERROR(VLOOKUP($B28&amp;$AW$4&amp;AR$25,【進行】結果入力表!$Q$7:$V$150,3,FALSE)),"",VLOOKUP($B28&amp;$AW$4&amp;AR$25,【進行】結果入力表!$Q$7:$V$150,3,FALSE))</f>
        <v/>
      </c>
      <c r="BR28" s="250" t="str">
        <f>IF(ISERROR(VLOOKUP($B28&amp;$AW$4&amp;BB$25,【進行】結果入力表!$Q$7:$V$150,3,FALSE)),"",VLOOKUP($B28&amp;$AW$4&amp;BB$25,【進行】結果入力表!$Q$7:$V$150,3,FALSE))</f>
        <v/>
      </c>
      <c r="BS28" s="15"/>
      <c r="BT28" s="254">
        <f t="shared" si="123"/>
        <v>0</v>
      </c>
      <c r="BU28" s="254">
        <f t="shared" si="123"/>
        <v>0</v>
      </c>
      <c r="BV28" s="254">
        <f t="shared" si="124"/>
        <v>0</v>
      </c>
      <c r="BW28" s="254">
        <f t="shared" si="125"/>
        <v>0</v>
      </c>
      <c r="BX28" s="254">
        <f t="shared" si="126"/>
        <v>5</v>
      </c>
      <c r="BY28" s="254" t="str">
        <f t="shared" si="127"/>
        <v>長谷川進</v>
      </c>
      <c r="BZ28" s="254" t="str">
        <f t="shared" si="128"/>
        <v>NRC</v>
      </c>
      <c r="CA28" s="254">
        <f t="shared" si="129"/>
        <v>0</v>
      </c>
      <c r="CB28" s="254"/>
      <c r="CC28" s="63">
        <f>COUNTIF(F28:BC28,"w")</f>
        <v>2</v>
      </c>
      <c r="CD28" s="59">
        <f>COUNT(F28,N28,AH28,X28,AR28,BB28)</f>
        <v>4</v>
      </c>
      <c r="CE28" s="237">
        <f>CC28*180+SUM(F28,N28,AH28,X28,AR28,BB28)*180/E28</f>
        <v>508</v>
      </c>
      <c r="CF28" s="64">
        <f>CC28*100000+CE28</f>
        <v>200508</v>
      </c>
      <c r="CG28" s="15"/>
      <c r="CH28" s="15"/>
      <c r="CS28" s="8">
        <f t="shared" si="130"/>
        <v>0</v>
      </c>
    </row>
    <row r="29" spans="1:97" ht="15" customHeight="1">
      <c r="A29" s="382"/>
      <c r="B29" s="378" t="str">
        <f>IF(【準備】登録!AK8=0,"",【準備】登録!AK8)</f>
        <v>井本高史</v>
      </c>
      <c r="C29" s="379"/>
      <c r="D29" s="380"/>
      <c r="E29" s="98">
        <f>【準備】登録!O13</f>
        <v>180</v>
      </c>
      <c r="F29" s="359" t="str">
        <f>IF(ISERROR(VLOOKUP($B29&amp;$I$4&amp;F$25,【進行】結果入力表!$Q$7:$V$150,2,FALSE)),"",VLOOKUP($B29&amp;$I$4&amp;F$25,【進行】結果入力表!$Q$7:$V$150,2,FALSE))</f>
        <v>w</v>
      </c>
      <c r="G29" s="342"/>
      <c r="H29" s="24">
        <f t="shared" si="88"/>
        <v>1</v>
      </c>
      <c r="I29" s="24">
        <f t="shared" si="89"/>
        <v>0</v>
      </c>
      <c r="J29" s="349">
        <f t="shared" si="90"/>
        <v>180</v>
      </c>
      <c r="K29" s="350"/>
      <c r="L29" s="341">
        <f t="shared" si="91"/>
        <v>180</v>
      </c>
      <c r="M29" s="363"/>
      <c r="N29" s="359">
        <f>IF(ISERROR(VLOOKUP($B29&amp;$I$4&amp;N$25,【進行】結果入力表!$Q$7:$V$150,2,FALSE)),"",VLOOKUP($B29&amp;$I$4&amp;N$25,【進行】結果入力表!$Q$7:$V$150,2,FALSE))</f>
        <v>120</v>
      </c>
      <c r="O29" s="342"/>
      <c r="P29" s="153">
        <f t="shared" si="92"/>
        <v>0</v>
      </c>
      <c r="Q29" s="153">
        <f t="shared" si="93"/>
        <v>1</v>
      </c>
      <c r="R29" s="24">
        <f t="shared" si="94"/>
        <v>1</v>
      </c>
      <c r="S29" s="24">
        <f t="shared" si="95"/>
        <v>1</v>
      </c>
      <c r="T29" s="349">
        <f t="shared" si="96"/>
        <v>300</v>
      </c>
      <c r="U29" s="350"/>
      <c r="V29" s="341">
        <f t="shared" si="97"/>
        <v>300</v>
      </c>
      <c r="W29" s="363"/>
      <c r="X29" s="359">
        <f>IF(ISERROR(VLOOKUP($B29&amp;$AC$4&amp;X$25,【進行】結果入力表!$Q$7:$V$150,2,FALSE)),"",VLOOKUP($B29&amp;$AC$4&amp;X$25,【進行】結果入力表!$Q$7:$V$150,2,FALSE))</f>
        <v>18</v>
      </c>
      <c r="Y29" s="342"/>
      <c r="Z29" s="153">
        <f t="shared" si="98"/>
        <v>0</v>
      </c>
      <c r="AA29" s="153">
        <f t="shared" si="99"/>
        <v>1</v>
      </c>
      <c r="AB29" s="24">
        <f t="shared" si="100"/>
        <v>1</v>
      </c>
      <c r="AC29" s="24">
        <f t="shared" si="101"/>
        <v>2</v>
      </c>
      <c r="AD29" s="349">
        <f t="shared" si="102"/>
        <v>318</v>
      </c>
      <c r="AE29" s="350"/>
      <c r="AF29" s="341">
        <f t="shared" si="103"/>
        <v>318</v>
      </c>
      <c r="AG29" s="363"/>
      <c r="AH29" s="359">
        <f>IF(ISERROR(VLOOKUP($B29&amp;$AC$4&amp;AH$25,【進行】結果入力表!$Q$7:$V$150,2,FALSE)),"",VLOOKUP($B29&amp;$AC$4&amp;AH$25,【進行】結果入力表!$Q$7:$V$150,2,FALSE))</f>
        <v>32</v>
      </c>
      <c r="AI29" s="342"/>
      <c r="AJ29" s="153">
        <f t="shared" si="104"/>
        <v>0</v>
      </c>
      <c r="AK29" s="153">
        <f t="shared" si="105"/>
        <v>1</v>
      </c>
      <c r="AL29" s="24">
        <f t="shared" si="106"/>
        <v>1</v>
      </c>
      <c r="AM29" s="24">
        <f t="shared" si="107"/>
        <v>3</v>
      </c>
      <c r="AN29" s="349">
        <f t="shared" si="108"/>
        <v>350</v>
      </c>
      <c r="AO29" s="350"/>
      <c r="AP29" s="341">
        <f t="shared" si="109"/>
        <v>350</v>
      </c>
      <c r="AQ29" s="363"/>
      <c r="AR29" s="359">
        <f>IF(ISERROR(VLOOKUP($B29&amp;$AW$4&amp;AR$25,【進行】結果入力表!$Q$7:$V$150,2,FALSE)),"",VLOOKUP($B29&amp;$AW$4&amp;AR$25,【進行】結果入力表!$Q$7:$V$150,2,FALSE))</f>
        <v>126</v>
      </c>
      <c r="AS29" s="342"/>
      <c r="AT29" s="153">
        <f t="shared" si="110"/>
        <v>0</v>
      </c>
      <c r="AU29" s="153">
        <f t="shared" si="111"/>
        <v>1</v>
      </c>
      <c r="AV29" s="24">
        <f t="shared" si="112"/>
        <v>1</v>
      </c>
      <c r="AW29" s="24">
        <f t="shared" si="113"/>
        <v>4</v>
      </c>
      <c r="AX29" s="349">
        <f t="shared" si="114"/>
        <v>476</v>
      </c>
      <c r="AY29" s="350"/>
      <c r="AZ29" s="341">
        <f t="shared" si="115"/>
        <v>476</v>
      </c>
      <c r="BA29" s="348"/>
      <c r="BB29" s="359">
        <f>IF(ISERROR(VLOOKUP($B29&amp;$AW$4&amp;BB$25,【進行】結果入力表!$Q$7:$V$150,2,FALSE)),"",VLOOKUP($B29&amp;$AW$4&amp;BB$25,【進行】結果入力表!$Q$7:$V$150,2,FALSE))</f>
        <v>175</v>
      </c>
      <c r="BC29" s="342"/>
      <c r="BD29" s="153">
        <f t="shared" si="116"/>
        <v>0</v>
      </c>
      <c r="BE29" s="153">
        <f t="shared" si="117"/>
        <v>1</v>
      </c>
      <c r="BF29" s="24">
        <f t="shared" si="118"/>
        <v>1</v>
      </c>
      <c r="BG29" s="24">
        <f t="shared" si="119"/>
        <v>5</v>
      </c>
      <c r="BH29" s="349">
        <f t="shared" si="120"/>
        <v>651</v>
      </c>
      <c r="BI29" s="350"/>
      <c r="BJ29" s="341">
        <f t="shared" si="121"/>
        <v>651</v>
      </c>
      <c r="BK29" s="342"/>
      <c r="BL29" s="92">
        <f t="shared" si="122"/>
        <v>5</v>
      </c>
      <c r="BM29" s="248" t="str">
        <f>IF(ISERROR(VLOOKUP($B29&amp;$I$4&amp;F$25,【進行】結果入力表!$Q$7:$V$150,3,FALSE)),"",VLOOKUP($B29&amp;$I$4&amp;F$25,【進行】結果入力表!$Q$7:$V$150,3,FALSE))</f>
        <v/>
      </c>
      <c r="BN29" s="249" t="str">
        <f>IF(ISERROR(VLOOKUP($B29&amp;$I$4&amp;N$25,【進行】結果入力表!$Q$7:$V$150,3,FALSE)),"",VLOOKUP($B29&amp;$I$4&amp;N$25,【進行】結果入力表!$Q$7:$V$150,3,FALSE))</f>
        <v/>
      </c>
      <c r="BO29" s="249" t="str">
        <f>IF(ISERROR(VLOOKUP($B29&amp;$AC$4&amp;X$25,【進行】結果入力表!$Q$7:$V$150,3,FALSE)),"",VLOOKUP($B29&amp;$AC$4&amp;X$25,【進行】結果入力表!$Q$7:$V$150,3,FALSE))</f>
        <v/>
      </c>
      <c r="BP29" s="249" t="str">
        <f>IF(ISERROR(VLOOKUP($B29&amp;$AC$4&amp;AH$25,【進行】結果入力表!$Q$7:$V$150,3,FALSE)),"",VLOOKUP($B29&amp;$AC$4&amp;AH$25,【進行】結果入力表!$Q$7:$V$150,3,FALSE))</f>
        <v/>
      </c>
      <c r="BQ29" s="249" t="str">
        <f>IF(ISERROR(VLOOKUP($B29&amp;$AW$4&amp;AR$25,【進行】結果入力表!$Q$7:$V$150,3,FALSE)),"",VLOOKUP($B29&amp;$AW$4&amp;AR$25,【進行】結果入力表!$Q$7:$V$150,3,FALSE))</f>
        <v/>
      </c>
      <c r="BR29" s="250" t="str">
        <f>IF(ISERROR(VLOOKUP($B29&amp;$AW$4&amp;BB$25,【進行】結果入力表!$Q$7:$V$150,3,FALSE)),"",VLOOKUP($B29&amp;$AW$4&amp;BB$25,【進行】結果入力表!$Q$7:$V$150,3,FALSE))</f>
        <v/>
      </c>
      <c r="BS29" s="15"/>
      <c r="BT29" s="254">
        <f t="shared" si="123"/>
        <v>0</v>
      </c>
      <c r="BU29" s="254">
        <f t="shared" si="123"/>
        <v>0</v>
      </c>
      <c r="BV29" s="254">
        <f t="shared" si="124"/>
        <v>0</v>
      </c>
      <c r="BW29" s="254">
        <f t="shared" si="125"/>
        <v>0</v>
      </c>
      <c r="BX29" s="254">
        <f t="shared" si="126"/>
        <v>5</v>
      </c>
      <c r="BY29" s="254" t="str">
        <f t="shared" si="127"/>
        <v>井本高史</v>
      </c>
      <c r="BZ29" s="254" t="str">
        <f t="shared" si="128"/>
        <v>NRC</v>
      </c>
      <c r="CA29" s="254">
        <f t="shared" si="129"/>
        <v>0</v>
      </c>
      <c r="CB29" s="254"/>
      <c r="CC29" s="63">
        <f>COUNTIF(F29:BC29,"w")</f>
        <v>1</v>
      </c>
      <c r="CD29" s="59">
        <f>COUNT(F29,N29,AH29,X29,AR29,BB29)</f>
        <v>5</v>
      </c>
      <c r="CE29" s="237">
        <f>CC29*180+SUM(F29,N29,AH29,X29,AR29,BB29)*180/E29</f>
        <v>651</v>
      </c>
      <c r="CF29" s="64">
        <f>CC29*100000+CE29</f>
        <v>100651</v>
      </c>
      <c r="CG29" s="15"/>
      <c r="CH29" s="15"/>
      <c r="CS29" s="8">
        <f t="shared" si="130"/>
        <v>0</v>
      </c>
    </row>
    <row r="30" spans="1:97" ht="15" customHeight="1">
      <c r="A30" s="382"/>
      <c r="B30" s="378" t="str">
        <f>IF(【準備】登録!AK9=0,"",【準備】登録!AK9)</f>
        <v>金澤茂昌</v>
      </c>
      <c r="C30" s="379"/>
      <c r="D30" s="380"/>
      <c r="E30" s="98">
        <f>【準備】登録!R13</f>
        <v>180</v>
      </c>
      <c r="F30" s="359" t="str">
        <f>IF(ISERROR(VLOOKUP($B30&amp;$I$4&amp;F$25,【進行】結果入力表!$Q$7:$V$150,2,FALSE)),"",VLOOKUP($B30&amp;$I$4&amp;F$25,【進行】結果入力表!$Q$7:$V$150,2,FALSE))</f>
        <v>w</v>
      </c>
      <c r="G30" s="342"/>
      <c r="H30" s="24">
        <f t="shared" si="88"/>
        <v>1</v>
      </c>
      <c r="I30" s="24">
        <f t="shared" si="89"/>
        <v>0</v>
      </c>
      <c r="J30" s="349">
        <f t="shared" si="90"/>
        <v>180</v>
      </c>
      <c r="K30" s="350"/>
      <c r="L30" s="341">
        <f t="shared" si="91"/>
        <v>180</v>
      </c>
      <c r="M30" s="363"/>
      <c r="N30" s="359" t="str">
        <f>IF(ISERROR(VLOOKUP($B30&amp;$I$4&amp;N$25,【進行】結果入力表!$Q$7:$V$150,2,FALSE)),"",VLOOKUP($B30&amp;$I$4&amp;N$25,【進行】結果入力表!$Q$7:$V$150,2,FALSE))</f>
        <v>w</v>
      </c>
      <c r="O30" s="342"/>
      <c r="P30" s="153">
        <f t="shared" si="92"/>
        <v>1</v>
      </c>
      <c r="Q30" s="153">
        <f t="shared" si="93"/>
        <v>0</v>
      </c>
      <c r="R30" s="24">
        <f t="shared" si="94"/>
        <v>2</v>
      </c>
      <c r="S30" s="24">
        <f t="shared" si="95"/>
        <v>0</v>
      </c>
      <c r="T30" s="349">
        <f t="shared" si="96"/>
        <v>360</v>
      </c>
      <c r="U30" s="350"/>
      <c r="V30" s="341">
        <f t="shared" si="97"/>
        <v>360</v>
      </c>
      <c r="W30" s="363"/>
      <c r="X30" s="359" t="str">
        <f>IF(ISERROR(VLOOKUP($B30&amp;$AC$4&amp;X$25,【進行】結果入力表!$Q$7:$V$150,2,FALSE)),"",VLOOKUP($B30&amp;$AC$4&amp;X$25,【進行】結果入力表!$Q$7:$V$150,2,FALSE))</f>
        <v>w</v>
      </c>
      <c r="Y30" s="342"/>
      <c r="Z30" s="153">
        <f t="shared" si="98"/>
        <v>1</v>
      </c>
      <c r="AA30" s="153">
        <f t="shared" si="99"/>
        <v>0</v>
      </c>
      <c r="AB30" s="24">
        <f t="shared" si="100"/>
        <v>3</v>
      </c>
      <c r="AC30" s="24">
        <f t="shared" si="101"/>
        <v>0</v>
      </c>
      <c r="AD30" s="349">
        <f t="shared" si="102"/>
        <v>540</v>
      </c>
      <c r="AE30" s="350"/>
      <c r="AF30" s="341">
        <f t="shared" si="103"/>
        <v>540</v>
      </c>
      <c r="AG30" s="363"/>
      <c r="AH30" s="359" t="str">
        <f>IF(ISERROR(VLOOKUP($B30&amp;$AC$4&amp;AH$25,【進行】結果入力表!$Q$7:$V$150,2,FALSE)),"",VLOOKUP($B30&amp;$AC$4&amp;AH$25,【進行】結果入力表!$Q$7:$V$150,2,FALSE))</f>
        <v>w</v>
      </c>
      <c r="AI30" s="342"/>
      <c r="AJ30" s="153">
        <f t="shared" si="104"/>
        <v>1</v>
      </c>
      <c r="AK30" s="153">
        <f t="shared" si="105"/>
        <v>0</v>
      </c>
      <c r="AL30" s="24">
        <f t="shared" si="106"/>
        <v>4</v>
      </c>
      <c r="AM30" s="24">
        <f t="shared" si="107"/>
        <v>0</v>
      </c>
      <c r="AN30" s="349">
        <f t="shared" si="108"/>
        <v>720</v>
      </c>
      <c r="AO30" s="350"/>
      <c r="AP30" s="341">
        <f t="shared" si="109"/>
        <v>720</v>
      </c>
      <c r="AQ30" s="363"/>
      <c r="AR30" s="359" t="str">
        <f>IF(ISERROR(VLOOKUP($B30&amp;$AW$4&amp;AR$25,【進行】結果入力表!$Q$7:$V$150,2,FALSE)),"",VLOOKUP($B30&amp;$AW$4&amp;AR$25,【進行】結果入力表!$Q$7:$V$150,2,FALSE))</f>
        <v>w</v>
      </c>
      <c r="AS30" s="342"/>
      <c r="AT30" s="153">
        <f t="shared" si="110"/>
        <v>1</v>
      </c>
      <c r="AU30" s="153">
        <f t="shared" si="111"/>
        <v>0</v>
      </c>
      <c r="AV30" s="24">
        <f t="shared" si="112"/>
        <v>5</v>
      </c>
      <c r="AW30" s="24">
        <f t="shared" si="113"/>
        <v>0</v>
      </c>
      <c r="AX30" s="349">
        <f t="shared" si="114"/>
        <v>900</v>
      </c>
      <c r="AY30" s="350"/>
      <c r="AZ30" s="341">
        <f t="shared" si="115"/>
        <v>900</v>
      </c>
      <c r="BA30" s="348"/>
      <c r="BB30" s="359" t="str">
        <f>IF(ISERROR(VLOOKUP($B30&amp;$AW$4&amp;BB$25,【進行】結果入力表!$Q$7:$V$150,2,FALSE)),"",VLOOKUP($B30&amp;$AW$4&amp;BB$25,【進行】結果入力表!$Q$7:$V$150,2,FALSE))</f>
        <v>w</v>
      </c>
      <c r="BC30" s="342"/>
      <c r="BD30" s="153">
        <f t="shared" si="116"/>
        <v>1</v>
      </c>
      <c r="BE30" s="153">
        <f t="shared" si="117"/>
        <v>0</v>
      </c>
      <c r="BF30" s="24">
        <f t="shared" si="118"/>
        <v>6</v>
      </c>
      <c r="BG30" s="24">
        <f t="shared" si="119"/>
        <v>0</v>
      </c>
      <c r="BH30" s="349">
        <f t="shared" si="120"/>
        <v>1080</v>
      </c>
      <c r="BI30" s="350"/>
      <c r="BJ30" s="341">
        <f t="shared" si="121"/>
        <v>1080</v>
      </c>
      <c r="BK30" s="342"/>
      <c r="BL30" s="93">
        <f t="shared" si="122"/>
        <v>1</v>
      </c>
      <c r="BM30" s="248" t="str">
        <f>IF(ISERROR(VLOOKUP($B30&amp;$I$4&amp;F$25,【進行】結果入力表!$Q$7:$V$150,3,FALSE)),"",VLOOKUP($B30&amp;$I$4&amp;F$25,【進行】結果入力表!$Q$7:$V$150,3,FALSE))</f>
        <v/>
      </c>
      <c r="BN30" s="249">
        <f>IF(ISERROR(VLOOKUP($B30&amp;$I$4&amp;N$25,【進行】結果入力表!$Q$7:$V$150,3,FALSE)),"",VLOOKUP($B30&amp;$I$4&amp;N$25,【進行】結果入力表!$Q$7:$V$150,3,FALSE))</f>
        <v>114</v>
      </c>
      <c r="BO30" s="249" t="str">
        <f>IF(ISERROR(VLOOKUP($B30&amp;$AC$4&amp;X$25,【進行】結果入力表!$Q$7:$V$150,3,FALSE)),"",VLOOKUP($B30&amp;$AC$4&amp;X$25,【進行】結果入力表!$Q$7:$V$150,3,FALSE))</f>
        <v/>
      </c>
      <c r="BP30" s="249" t="str">
        <f>IF(ISERROR(VLOOKUP($B30&amp;$AC$4&amp;AH$25,【進行】結果入力表!$Q$7:$V$150,3,FALSE)),"",VLOOKUP($B30&amp;$AC$4&amp;AH$25,【進行】結果入力表!$Q$7:$V$150,3,FALSE))</f>
        <v/>
      </c>
      <c r="BQ30" s="249" t="str">
        <f>IF(ISERROR(VLOOKUP($B30&amp;$AW$4&amp;AR$25,【進行】結果入力表!$Q$7:$V$150,3,FALSE)),"",VLOOKUP($B30&amp;$AW$4&amp;AR$25,【進行】結果入力表!$Q$7:$V$150,3,FALSE))</f>
        <v/>
      </c>
      <c r="BR30" s="250" t="str">
        <f>IF(ISERROR(VLOOKUP($B30&amp;$AW$4&amp;BB$25,【進行】結果入力表!$Q$7:$V$150,3,FALSE)),"",VLOOKUP($B30&amp;$AW$4&amp;BB$25,【進行】結果入力表!$Q$7:$V$150,3,FALSE))</f>
        <v/>
      </c>
      <c r="BS30" s="15"/>
      <c r="BT30" s="254">
        <f t="shared" si="123"/>
        <v>0</v>
      </c>
      <c r="BU30" s="254">
        <f t="shared" si="123"/>
        <v>0</v>
      </c>
      <c r="BV30" s="254">
        <f t="shared" si="124"/>
        <v>114</v>
      </c>
      <c r="BW30" s="254">
        <f t="shared" si="125"/>
        <v>114</v>
      </c>
      <c r="BX30" s="254">
        <f t="shared" si="126"/>
        <v>2</v>
      </c>
      <c r="BY30" s="254" t="str">
        <f t="shared" si="127"/>
        <v>金澤茂昌</v>
      </c>
      <c r="BZ30" s="254" t="str">
        <f t="shared" si="128"/>
        <v>NRC</v>
      </c>
      <c r="CA30" s="254">
        <f t="shared" si="129"/>
        <v>114</v>
      </c>
      <c r="CB30" s="254"/>
      <c r="CC30" s="63">
        <f>COUNTIF(F30:BC30,"w")</f>
        <v>6</v>
      </c>
      <c r="CD30" s="59">
        <f>COUNT(F30,N30,AH30,X30,AR30,BB30)</f>
        <v>0</v>
      </c>
      <c r="CE30" s="237">
        <f>CC30*180+SUM(F30,N30,AH30,X30,AR30,BB30)*180/E30</f>
        <v>1080</v>
      </c>
      <c r="CF30" s="64">
        <f>CC30*100000+CE30</f>
        <v>601080</v>
      </c>
      <c r="CG30" s="15"/>
      <c r="CH30" s="15"/>
      <c r="CS30" s="8">
        <f t="shared" si="130"/>
        <v>0</v>
      </c>
    </row>
    <row r="31" spans="1:97" ht="15" customHeight="1">
      <c r="A31" s="382"/>
      <c r="B31" s="378" t="str">
        <f>IF(【準備】登録!AK10=0,"",【準備】登録!AK10)</f>
        <v>宮野早織</v>
      </c>
      <c r="C31" s="379"/>
      <c r="D31" s="380"/>
      <c r="E31" s="98">
        <f>IF(【準備】登録!U13="","",【準備】登録!U13)</f>
        <v>140</v>
      </c>
      <c r="F31" s="359">
        <f>IF(ISERROR(VLOOKUP($B31&amp;$I$4&amp;F$25,【進行】結果入力表!$Q$7:$V$150,2,FALSE)),"",VLOOKUP($B31&amp;$I$4&amp;F$25,【進行】結果入力表!$Q$7:$V$150,2,FALSE))</f>
        <v>100</v>
      </c>
      <c r="G31" s="342"/>
      <c r="H31" s="24">
        <f t="shared" si="88"/>
        <v>0</v>
      </c>
      <c r="I31" s="24">
        <f t="shared" si="89"/>
        <v>1</v>
      </c>
      <c r="J31" s="349">
        <f t="shared" si="90"/>
        <v>100</v>
      </c>
      <c r="K31" s="350"/>
      <c r="L31" s="341">
        <f t="shared" si="91"/>
        <v>128.57142857142858</v>
      </c>
      <c r="M31" s="363"/>
      <c r="N31" s="359">
        <f>IF(ISERROR(VLOOKUP($B31&amp;$I$4&amp;N$25,【進行】結果入力表!$Q$7:$V$150,2,FALSE)),"",VLOOKUP($B31&amp;$I$4&amp;N$25,【進行】結果入力表!$Q$7:$V$150,2,FALSE))</f>
        <v>59</v>
      </c>
      <c r="O31" s="342"/>
      <c r="P31" s="153">
        <f t="shared" si="92"/>
        <v>0</v>
      </c>
      <c r="Q31" s="153">
        <f t="shared" si="93"/>
        <v>1</v>
      </c>
      <c r="R31" s="24">
        <f t="shared" si="94"/>
        <v>0</v>
      </c>
      <c r="S31" s="24">
        <f t="shared" si="95"/>
        <v>2</v>
      </c>
      <c r="T31" s="349">
        <f t="shared" si="96"/>
        <v>159</v>
      </c>
      <c r="U31" s="350"/>
      <c r="V31" s="341">
        <f t="shared" si="97"/>
        <v>204.42857142857142</v>
      </c>
      <c r="W31" s="363"/>
      <c r="X31" s="359">
        <f>IF(ISERROR(VLOOKUP($B31&amp;$AC$4&amp;X$25,【進行】結果入力表!$Q$7:$V$150,2,FALSE)),"",VLOOKUP($B31&amp;$AC$4&amp;X$25,【進行】結果入力表!$Q$7:$V$150,2,FALSE))</f>
        <v>40</v>
      </c>
      <c r="Y31" s="342"/>
      <c r="Z31" s="153">
        <f t="shared" si="98"/>
        <v>0</v>
      </c>
      <c r="AA31" s="153">
        <f t="shared" si="99"/>
        <v>1</v>
      </c>
      <c r="AB31" s="24">
        <f t="shared" si="100"/>
        <v>0</v>
      </c>
      <c r="AC31" s="24">
        <f t="shared" si="101"/>
        <v>3</v>
      </c>
      <c r="AD31" s="349">
        <f t="shared" si="102"/>
        <v>199</v>
      </c>
      <c r="AE31" s="350"/>
      <c r="AF31" s="341">
        <f t="shared" si="103"/>
        <v>255.85714285714286</v>
      </c>
      <c r="AG31" s="363"/>
      <c r="AH31" s="359">
        <f>IF(ISERROR(VLOOKUP($B31&amp;$AC$4&amp;AH$25,【進行】結果入力表!$Q$7:$V$150,2,FALSE)),"",VLOOKUP($B31&amp;$AC$4&amp;AH$25,【進行】結果入力表!$Q$7:$V$150,2,FALSE))</f>
        <v>45</v>
      </c>
      <c r="AI31" s="342"/>
      <c r="AJ31" s="153">
        <f t="shared" si="104"/>
        <v>0</v>
      </c>
      <c r="AK31" s="153">
        <f t="shared" si="105"/>
        <v>1</v>
      </c>
      <c r="AL31" s="24">
        <f t="shared" si="106"/>
        <v>0</v>
      </c>
      <c r="AM31" s="24">
        <f t="shared" si="107"/>
        <v>4</v>
      </c>
      <c r="AN31" s="349">
        <f t="shared" si="108"/>
        <v>244</v>
      </c>
      <c r="AO31" s="350"/>
      <c r="AP31" s="341">
        <f t="shared" si="109"/>
        <v>313.71428571428572</v>
      </c>
      <c r="AQ31" s="363"/>
      <c r="AR31" s="359">
        <f>IF(ISERROR(VLOOKUP($B31&amp;$AW$4&amp;AR$25,【進行】結果入力表!$Q$7:$V$150,2,FALSE)),"",VLOOKUP($B31&amp;$AW$4&amp;AR$25,【進行】結果入力表!$Q$7:$V$150,2,FALSE))</f>
        <v>78</v>
      </c>
      <c r="AS31" s="342"/>
      <c r="AT31" s="153">
        <f t="shared" si="110"/>
        <v>0</v>
      </c>
      <c r="AU31" s="153">
        <f t="shared" si="111"/>
        <v>1</v>
      </c>
      <c r="AV31" s="24">
        <f t="shared" si="112"/>
        <v>0</v>
      </c>
      <c r="AW31" s="24">
        <f t="shared" si="113"/>
        <v>5</v>
      </c>
      <c r="AX31" s="349">
        <f t="shared" si="114"/>
        <v>322</v>
      </c>
      <c r="AY31" s="350"/>
      <c r="AZ31" s="341">
        <f t="shared" si="115"/>
        <v>413.99999999999994</v>
      </c>
      <c r="BA31" s="348"/>
      <c r="BB31" s="359">
        <f>IF(ISERROR(VLOOKUP($B31&amp;$AW$4&amp;BB$25,【進行】結果入力表!$Q$7:$V$150,2,FALSE)),"",VLOOKUP($B31&amp;$AW$4&amp;BB$25,【進行】結果入力表!$Q$7:$V$150,2,FALSE))</f>
        <v>110</v>
      </c>
      <c r="BC31" s="342"/>
      <c r="BD31" s="153">
        <f t="shared" si="116"/>
        <v>0</v>
      </c>
      <c r="BE31" s="153">
        <f t="shared" si="117"/>
        <v>1</v>
      </c>
      <c r="BF31" s="24">
        <f t="shared" si="118"/>
        <v>0</v>
      </c>
      <c r="BG31" s="24">
        <f t="shared" si="119"/>
        <v>6</v>
      </c>
      <c r="BH31" s="349">
        <f t="shared" si="120"/>
        <v>432</v>
      </c>
      <c r="BI31" s="350"/>
      <c r="BJ31" s="341">
        <f t="shared" si="121"/>
        <v>555.42857142857144</v>
      </c>
      <c r="BK31" s="342"/>
      <c r="BL31" s="92">
        <f t="shared" si="122"/>
        <v>6</v>
      </c>
      <c r="BM31" s="248" t="str">
        <f>IF(ISERROR(VLOOKUP($B31&amp;$I$4&amp;F$25,【進行】結果入力表!$Q$7:$V$150,3,FALSE)),"",VLOOKUP($B31&amp;$I$4&amp;F$25,【進行】結果入力表!$Q$7:$V$150,3,FALSE))</f>
        <v/>
      </c>
      <c r="BN31" s="249" t="str">
        <f>IF(ISERROR(VLOOKUP($B31&amp;$I$4&amp;N$25,【進行】結果入力表!$Q$7:$V$150,3,FALSE)),"",VLOOKUP($B31&amp;$I$4&amp;N$25,【進行】結果入力表!$Q$7:$V$150,3,FALSE))</f>
        <v/>
      </c>
      <c r="BO31" s="249" t="str">
        <f>IF(ISERROR(VLOOKUP($B31&amp;$AC$4&amp;X$25,【進行】結果入力表!$Q$7:$V$150,3,FALSE)),"",VLOOKUP($B31&amp;$AC$4&amp;X$25,【進行】結果入力表!$Q$7:$V$150,3,FALSE))</f>
        <v/>
      </c>
      <c r="BP31" s="249" t="str">
        <f>IF(ISERROR(VLOOKUP($B31&amp;$AC$4&amp;AH$25,【進行】結果入力表!$Q$7:$V$150,3,FALSE)),"",VLOOKUP($B31&amp;$AC$4&amp;AH$25,【進行】結果入力表!$Q$7:$V$150,3,FALSE))</f>
        <v/>
      </c>
      <c r="BQ31" s="249" t="str">
        <f>IF(ISERROR(VLOOKUP($B31&amp;$AW$4&amp;AR$25,【進行】結果入力表!$Q$7:$V$150,3,FALSE)),"",VLOOKUP($B31&amp;$AW$4&amp;AR$25,【進行】結果入力表!$Q$7:$V$150,3,FALSE))</f>
        <v/>
      </c>
      <c r="BR31" s="250" t="str">
        <f>IF(ISERROR(VLOOKUP($B31&amp;$AW$4&amp;BB$25,【進行】結果入力表!$Q$7:$V$150,3,FALSE)),"",VLOOKUP($B31&amp;$AW$4&amp;BB$25,【進行】結果入力表!$Q$7:$V$150,3,FALSE))</f>
        <v/>
      </c>
      <c r="BS31" s="15"/>
      <c r="BT31" s="254">
        <f t="shared" si="123"/>
        <v>0</v>
      </c>
      <c r="BU31" s="254">
        <f t="shared" si="123"/>
        <v>0</v>
      </c>
      <c r="BV31" s="254">
        <f t="shared" si="124"/>
        <v>0</v>
      </c>
      <c r="BW31" s="254">
        <f t="shared" si="125"/>
        <v>0</v>
      </c>
      <c r="BX31" s="254">
        <f t="shared" si="126"/>
        <v>5</v>
      </c>
      <c r="BY31" s="254" t="str">
        <f t="shared" si="127"/>
        <v>宮野早織</v>
      </c>
      <c r="BZ31" s="254" t="str">
        <f t="shared" si="128"/>
        <v>NRC</v>
      </c>
      <c r="CA31" s="254">
        <f t="shared" si="129"/>
        <v>0</v>
      </c>
      <c r="CB31" s="254"/>
      <c r="CC31" s="63">
        <f>IF(B31="","",COUNTIF(F31:BC31,"w"))</f>
        <v>0</v>
      </c>
      <c r="CD31" s="59">
        <f>IF(B31="","",COUNT(F31,N31,AH31,X31,AR31,BB31))</f>
        <v>6</v>
      </c>
      <c r="CE31" s="237">
        <f>IF(CC31="","",CC31*180+SUM(F31,N31,AH31,X31,AR31,BB31)*180/E31)</f>
        <v>555.42857142857144</v>
      </c>
      <c r="CF31" s="64">
        <f>IF(B31="","",CC31*100000+CE31)</f>
        <v>555.42857142857144</v>
      </c>
      <c r="CG31" s="15"/>
      <c r="CH31" s="15"/>
      <c r="CM31" s="8" t="str">
        <f>【結果】リーグ成績表!M30</f>
        <v>w</v>
      </c>
      <c r="CN31" s="8" t="str">
        <f>【結果】リーグ成績表!M31</f>
        <v>w</v>
      </c>
      <c r="CO31" s="8" t="str">
        <f>【結果】リーグ成績表!AI30</f>
        <v>w</v>
      </c>
      <c r="CP31" s="8" t="str">
        <f>【結果】リーグ成績表!AI31</f>
        <v>w</v>
      </c>
      <c r="CQ31" s="8" t="str">
        <f>【結果】リーグ成績表!BE30</f>
        <v>w</v>
      </c>
      <c r="CR31" s="8" t="str">
        <f>【結果】リーグ成績表!BE31</f>
        <v>w</v>
      </c>
      <c r="CS31" s="8">
        <f>SUM(CM31:CR31)</f>
        <v>0</v>
      </c>
    </row>
    <row r="32" spans="1:97" ht="15" customHeight="1">
      <c r="A32" s="382"/>
      <c r="B32" s="378" t="str">
        <f>IF(【準備】登録!AK11=0,"",【準備】登録!AK11)</f>
        <v/>
      </c>
      <c r="C32" s="379"/>
      <c r="D32" s="380"/>
      <c r="E32" s="98" t="str">
        <f>IF(【準備】登録!X13="","",【準備】登録!X13)</f>
        <v/>
      </c>
      <c r="F32" s="359" t="str">
        <f>IF(ISERROR(VLOOKUP($B32&amp;$I$4&amp;F$25,【進行】結果入力表!$Q$7:$V$150,2,FALSE)),"",VLOOKUP($B32&amp;$I$4&amp;F$25,【進行】結果入力表!$Q$7:$V$150,2,FALSE))</f>
        <v/>
      </c>
      <c r="G32" s="342"/>
      <c r="H32" s="24" t="str">
        <f t="shared" si="88"/>
        <v/>
      </c>
      <c r="I32" s="24" t="str">
        <f t="shared" si="89"/>
        <v/>
      </c>
      <c r="J32" s="349" t="str">
        <f t="shared" si="90"/>
        <v/>
      </c>
      <c r="K32" s="350"/>
      <c r="L32" s="341" t="str">
        <f t="shared" si="91"/>
        <v/>
      </c>
      <c r="M32" s="363"/>
      <c r="N32" s="359" t="str">
        <f>IF(ISERROR(VLOOKUP($B32&amp;$I$4&amp;N$25,【進行】結果入力表!$Q$7:$V$150,2,FALSE)),"",VLOOKUP($B32&amp;$I$4&amp;N$25,【進行】結果入力表!$Q$7:$V$150,2,FALSE))</f>
        <v/>
      </c>
      <c r="O32" s="342"/>
      <c r="P32" s="153" t="str">
        <f t="shared" si="92"/>
        <v/>
      </c>
      <c r="Q32" s="153" t="str">
        <f t="shared" si="93"/>
        <v/>
      </c>
      <c r="R32" s="24" t="str">
        <f t="shared" si="94"/>
        <v/>
      </c>
      <c r="S32" s="24" t="str">
        <f t="shared" si="95"/>
        <v/>
      </c>
      <c r="T32" s="349" t="str">
        <f t="shared" si="96"/>
        <v/>
      </c>
      <c r="U32" s="350"/>
      <c r="V32" s="341" t="str">
        <f t="shared" si="97"/>
        <v/>
      </c>
      <c r="W32" s="363"/>
      <c r="X32" s="359" t="str">
        <f>IF(ISERROR(VLOOKUP($B32&amp;$AC$4&amp;X$25,【進行】結果入力表!$Q$7:$V$150,2,FALSE)),"",VLOOKUP($B32&amp;$AC$4&amp;X$25,【進行】結果入力表!$Q$7:$V$150,2,FALSE))</f>
        <v/>
      </c>
      <c r="Y32" s="342"/>
      <c r="Z32" s="153" t="str">
        <f t="shared" si="98"/>
        <v/>
      </c>
      <c r="AA32" s="153" t="str">
        <f t="shared" si="99"/>
        <v/>
      </c>
      <c r="AB32" s="24" t="str">
        <f t="shared" si="100"/>
        <v/>
      </c>
      <c r="AC32" s="24" t="str">
        <f t="shared" si="101"/>
        <v/>
      </c>
      <c r="AD32" s="349" t="str">
        <f t="shared" si="102"/>
        <v/>
      </c>
      <c r="AE32" s="350"/>
      <c r="AF32" s="341" t="str">
        <f t="shared" si="103"/>
        <v/>
      </c>
      <c r="AG32" s="363"/>
      <c r="AH32" s="359" t="str">
        <f>IF(ISERROR(VLOOKUP($B32&amp;$AC$4&amp;AH$25,【進行】結果入力表!$Q$7:$V$150,2,FALSE)),"",VLOOKUP($B32&amp;$AC$4&amp;AH$25,【進行】結果入力表!$Q$7:$V$150,2,FALSE))</f>
        <v/>
      </c>
      <c r="AI32" s="342"/>
      <c r="AJ32" s="153" t="str">
        <f t="shared" si="104"/>
        <v/>
      </c>
      <c r="AK32" s="153" t="str">
        <f t="shared" si="105"/>
        <v/>
      </c>
      <c r="AL32" s="24" t="str">
        <f t="shared" si="106"/>
        <v/>
      </c>
      <c r="AM32" s="24" t="str">
        <f t="shared" si="107"/>
        <v/>
      </c>
      <c r="AN32" s="349" t="str">
        <f t="shared" si="108"/>
        <v/>
      </c>
      <c r="AO32" s="350"/>
      <c r="AP32" s="341" t="str">
        <f t="shared" si="109"/>
        <v/>
      </c>
      <c r="AQ32" s="363"/>
      <c r="AR32" s="359" t="str">
        <f>IF(ISERROR(VLOOKUP($B32&amp;$AW$4&amp;AR$25,【進行】結果入力表!$Q$7:$V$150,2,FALSE)),"",VLOOKUP($B32&amp;$AW$4&amp;AR$25,【進行】結果入力表!$Q$7:$V$150,2,FALSE))</f>
        <v/>
      </c>
      <c r="AS32" s="342"/>
      <c r="AT32" s="153" t="str">
        <f t="shared" si="110"/>
        <v/>
      </c>
      <c r="AU32" s="153" t="str">
        <f t="shared" si="111"/>
        <v/>
      </c>
      <c r="AV32" s="24" t="str">
        <f t="shared" si="112"/>
        <v/>
      </c>
      <c r="AW32" s="24" t="str">
        <f t="shared" si="113"/>
        <v/>
      </c>
      <c r="AX32" s="349" t="str">
        <f t="shared" si="114"/>
        <v/>
      </c>
      <c r="AY32" s="350"/>
      <c r="AZ32" s="341" t="str">
        <f t="shared" si="115"/>
        <v/>
      </c>
      <c r="BA32" s="348"/>
      <c r="BB32" s="359" t="str">
        <f>IF(ISERROR(VLOOKUP($B32&amp;$AW$4&amp;BB$25,【進行】結果入力表!$Q$7:$V$150,2,FALSE)),"",VLOOKUP($B32&amp;$AW$4&amp;BB$25,【進行】結果入力表!$Q$7:$V$150,2,FALSE))</f>
        <v/>
      </c>
      <c r="BC32" s="342"/>
      <c r="BD32" s="153" t="str">
        <f t="shared" si="116"/>
        <v/>
      </c>
      <c r="BE32" s="153" t="str">
        <f t="shared" si="117"/>
        <v/>
      </c>
      <c r="BF32" s="24" t="str">
        <f t="shared" si="118"/>
        <v/>
      </c>
      <c r="BG32" s="24" t="str">
        <f t="shared" si="119"/>
        <v/>
      </c>
      <c r="BH32" s="349" t="str">
        <f t="shared" si="120"/>
        <v/>
      </c>
      <c r="BI32" s="350"/>
      <c r="BJ32" s="341" t="str">
        <f t="shared" si="121"/>
        <v/>
      </c>
      <c r="BK32" s="342"/>
      <c r="BL32" s="93" t="str">
        <f t="shared" si="122"/>
        <v/>
      </c>
      <c r="BM32" s="248" t="str">
        <f>IF(ISERROR(VLOOKUP($B32&amp;$I$4&amp;F$25,【進行】結果入力表!$Q$7:$V$150,3,FALSE)),"",VLOOKUP($B32&amp;$I$4&amp;F$25,【進行】結果入力表!$Q$7:$V$150,3,FALSE))</f>
        <v/>
      </c>
      <c r="BN32" s="249" t="str">
        <f>IF(ISERROR(VLOOKUP($B32&amp;$I$4&amp;N$25,【進行】結果入力表!$Q$7:$V$150,3,FALSE)),"",VLOOKUP($B32&amp;$I$4&amp;N$25,【進行】結果入力表!$Q$7:$V$150,3,FALSE))</f>
        <v/>
      </c>
      <c r="BO32" s="249" t="str">
        <f>IF(ISERROR(VLOOKUP($B32&amp;$AC$4&amp;X$25,【進行】結果入力表!$Q$7:$V$150,3,FALSE)),"",VLOOKUP($B32&amp;$AC$4&amp;X$25,【進行】結果入力表!$Q$7:$V$150,3,FALSE))</f>
        <v/>
      </c>
      <c r="BP32" s="249" t="str">
        <f>IF(ISERROR(VLOOKUP($B32&amp;$AC$4&amp;AH$25,【進行】結果入力表!$Q$7:$V$150,3,FALSE)),"",VLOOKUP($B32&amp;$AC$4&amp;AH$25,【進行】結果入力表!$Q$7:$V$150,3,FALSE))</f>
        <v/>
      </c>
      <c r="BQ32" s="249" t="str">
        <f>IF(ISERROR(VLOOKUP($B32&amp;$AW$4&amp;AR$25,【進行】結果入力表!$Q$7:$V$150,3,FALSE)),"",VLOOKUP($B32&amp;$AW$4&amp;AR$25,【進行】結果入力表!$Q$7:$V$150,3,FALSE))</f>
        <v/>
      </c>
      <c r="BR32" s="250" t="str">
        <f>IF(ISERROR(VLOOKUP($B32&amp;$AW$4&amp;BB$25,【進行】結果入力表!$Q$7:$V$150,3,FALSE)),"",VLOOKUP($B32&amp;$AW$4&amp;BB$25,【進行】結果入力表!$Q$7:$V$150,3,FALSE))</f>
        <v/>
      </c>
      <c r="BS32" s="15"/>
      <c r="BT32" s="254">
        <f t="shared" si="123"/>
        <v>0</v>
      </c>
      <c r="BU32" s="254">
        <f t="shared" si="123"/>
        <v>0</v>
      </c>
      <c r="BV32" s="254">
        <f t="shared" si="124"/>
        <v>0</v>
      </c>
      <c r="BW32" s="254">
        <f t="shared" si="125"/>
        <v>0</v>
      </c>
      <c r="BX32" s="254">
        <f t="shared" si="126"/>
        <v>5</v>
      </c>
      <c r="BY32" s="254" t="str">
        <f t="shared" si="127"/>
        <v/>
      </c>
      <c r="BZ32" s="254" t="str">
        <f t="shared" si="128"/>
        <v>NRC</v>
      </c>
      <c r="CA32" s="254">
        <f t="shared" si="129"/>
        <v>0</v>
      </c>
      <c r="CB32" s="254"/>
      <c r="CC32" s="63" t="str">
        <f>IF(B32="","",COUNTIF(F32:BC32,"w"))</f>
        <v/>
      </c>
      <c r="CD32" s="59" t="str">
        <f>IF(B32="","",COUNT(F32,N32,AH32,X32,AR32,BB32))</f>
        <v/>
      </c>
      <c r="CE32" s="237" t="str">
        <f>IF(CC32="","",CC32*180+SUM(F32,N32,AH32,X32,AR32,BB32)*180/E32)</f>
        <v/>
      </c>
      <c r="CF32" s="64" t="str">
        <f>IF(B32="","",CC32*100000+CE32)</f>
        <v/>
      </c>
      <c r="CG32" s="15"/>
      <c r="CH32" s="15"/>
      <c r="CS32" s="8">
        <f t="shared" si="130"/>
        <v>0</v>
      </c>
    </row>
    <row r="33" spans="1:97" ht="15" customHeight="1">
      <c r="A33" s="382"/>
      <c r="B33" s="393" t="str">
        <f>IF(【準備】登録!AK12=0,"",【準備】登録!AK12)</f>
        <v/>
      </c>
      <c r="C33" s="394"/>
      <c r="D33" s="395"/>
      <c r="E33" s="99" t="str">
        <f>IF(【準備】登録!$Y$13="","",【準備】登録!AA13)</f>
        <v/>
      </c>
      <c r="F33" s="372" t="str">
        <f>IF(ISERROR(VLOOKUP($B33&amp;$I$4&amp;F$25,【進行】結果入力表!$Q$7:$V$150,2,FALSE)),"",VLOOKUP($B33&amp;$I$4&amp;F$25,【進行】結果入力表!$Q$7:$V$150,2,FALSE))</f>
        <v/>
      </c>
      <c r="G33" s="344"/>
      <c r="H33" s="25" t="str">
        <f t="shared" si="88"/>
        <v/>
      </c>
      <c r="I33" s="25" t="str">
        <f t="shared" si="89"/>
        <v/>
      </c>
      <c r="J33" s="368" t="str">
        <f t="shared" si="90"/>
        <v/>
      </c>
      <c r="K33" s="369"/>
      <c r="L33" s="343" t="str">
        <f t="shared" si="91"/>
        <v/>
      </c>
      <c r="M33" s="373"/>
      <c r="N33" s="372" t="str">
        <f>IF(ISERROR(VLOOKUP($B33&amp;$I$4&amp;N$25,【進行】結果入力表!$Q$7:$V$150,2,FALSE)),"",VLOOKUP($B33&amp;$I$4&amp;N$25,【進行】結果入力表!$Q$7:$V$150,2,FALSE))</f>
        <v/>
      </c>
      <c r="O33" s="344"/>
      <c r="P33" s="154" t="str">
        <f t="shared" si="92"/>
        <v/>
      </c>
      <c r="Q33" s="154" t="str">
        <f t="shared" si="93"/>
        <v/>
      </c>
      <c r="R33" s="25" t="str">
        <f t="shared" si="94"/>
        <v/>
      </c>
      <c r="S33" s="25" t="str">
        <f t="shared" si="95"/>
        <v/>
      </c>
      <c r="T33" s="368" t="str">
        <f t="shared" si="96"/>
        <v/>
      </c>
      <c r="U33" s="369"/>
      <c r="V33" s="343" t="str">
        <f t="shared" si="97"/>
        <v/>
      </c>
      <c r="W33" s="373"/>
      <c r="X33" s="372" t="str">
        <f>IF(ISERROR(VLOOKUP($B33&amp;$AC$4&amp;X$25,【進行】結果入力表!$Q$7:$V$150,2,FALSE)),"",VLOOKUP($B33&amp;$AC$4&amp;X$25,【進行】結果入力表!$Q$7:$V$150,2,FALSE))</f>
        <v/>
      </c>
      <c r="Y33" s="344"/>
      <c r="Z33" s="154" t="str">
        <f t="shared" si="98"/>
        <v/>
      </c>
      <c r="AA33" s="154" t="str">
        <f t="shared" si="99"/>
        <v/>
      </c>
      <c r="AB33" s="25" t="str">
        <f t="shared" si="100"/>
        <v/>
      </c>
      <c r="AC33" s="25" t="str">
        <f t="shared" si="101"/>
        <v/>
      </c>
      <c r="AD33" s="368" t="str">
        <f t="shared" si="102"/>
        <v/>
      </c>
      <c r="AE33" s="369"/>
      <c r="AF33" s="343" t="str">
        <f t="shared" si="103"/>
        <v/>
      </c>
      <c r="AG33" s="373"/>
      <c r="AH33" s="372" t="str">
        <f>IF(ISERROR(VLOOKUP($B33&amp;$AC$4&amp;AH$25,【進行】結果入力表!$Q$7:$V$150,2,FALSE)),"",VLOOKUP($B33&amp;$AC$4&amp;AH$25,【進行】結果入力表!$Q$7:$V$150,2,FALSE))</f>
        <v/>
      </c>
      <c r="AI33" s="344"/>
      <c r="AJ33" s="154" t="str">
        <f t="shared" si="104"/>
        <v/>
      </c>
      <c r="AK33" s="154" t="str">
        <f t="shared" si="105"/>
        <v/>
      </c>
      <c r="AL33" s="25" t="str">
        <f t="shared" si="106"/>
        <v/>
      </c>
      <c r="AM33" s="25" t="str">
        <f t="shared" si="107"/>
        <v/>
      </c>
      <c r="AN33" s="368" t="str">
        <f t="shared" si="108"/>
        <v/>
      </c>
      <c r="AO33" s="369"/>
      <c r="AP33" s="343" t="str">
        <f t="shared" si="109"/>
        <v/>
      </c>
      <c r="AQ33" s="373"/>
      <c r="AR33" s="372" t="str">
        <f>IF(ISERROR(VLOOKUP($B33&amp;$AW$4&amp;AR$25,【進行】結果入力表!$Q$7:$V$150,2,FALSE)),"",VLOOKUP($B33&amp;$AW$4&amp;AR$25,【進行】結果入力表!$Q$7:$V$150,2,FALSE))</f>
        <v/>
      </c>
      <c r="AS33" s="344"/>
      <c r="AT33" s="154" t="str">
        <f t="shared" si="110"/>
        <v/>
      </c>
      <c r="AU33" s="154" t="str">
        <f t="shared" si="111"/>
        <v/>
      </c>
      <c r="AV33" s="25" t="str">
        <f t="shared" si="112"/>
        <v/>
      </c>
      <c r="AW33" s="25" t="str">
        <f t="shared" si="113"/>
        <v/>
      </c>
      <c r="AX33" s="368" t="str">
        <f t="shared" si="114"/>
        <v/>
      </c>
      <c r="AY33" s="369"/>
      <c r="AZ33" s="343" t="str">
        <f t="shared" si="115"/>
        <v/>
      </c>
      <c r="BA33" s="347"/>
      <c r="BB33" s="372" t="str">
        <f>IF(ISERROR(VLOOKUP($B33&amp;$AW$4&amp;BB$25,【進行】結果入力表!$Q$7:$V$150,2,FALSE)),"",VLOOKUP($B33&amp;$AW$4&amp;BB$25,【進行】結果入力表!$Q$7:$V$150,2,FALSE))</f>
        <v/>
      </c>
      <c r="BC33" s="344"/>
      <c r="BD33" s="154" t="str">
        <f t="shared" si="116"/>
        <v/>
      </c>
      <c r="BE33" s="154" t="str">
        <f t="shared" si="117"/>
        <v/>
      </c>
      <c r="BF33" s="25" t="str">
        <f t="shared" si="118"/>
        <v/>
      </c>
      <c r="BG33" s="25" t="str">
        <f t="shared" si="119"/>
        <v/>
      </c>
      <c r="BH33" s="368" t="str">
        <f t="shared" si="120"/>
        <v/>
      </c>
      <c r="BI33" s="369"/>
      <c r="BJ33" s="343" t="str">
        <f t="shared" si="121"/>
        <v/>
      </c>
      <c r="BK33" s="344"/>
      <c r="BL33" s="26" t="str">
        <f t="shared" si="122"/>
        <v/>
      </c>
      <c r="BM33" s="251" t="str">
        <f>IF(ISERROR(VLOOKUP($B33&amp;$I$4&amp;F$25,【進行】結果入力表!$Q$7:$V$150,3,FALSE)),"",VLOOKUP($B33&amp;$I$4&amp;F$25,【進行】結果入力表!$Q$7:$V$150,3,FALSE))</f>
        <v/>
      </c>
      <c r="BN33" s="252" t="str">
        <f>IF(ISERROR(VLOOKUP($B33&amp;$I$4&amp;N$25,【進行】結果入力表!$Q$7:$V$150,3,FALSE)),"",VLOOKUP($B33&amp;$I$4&amp;N$25,【進行】結果入力表!$Q$7:$V$150,3,FALSE))</f>
        <v/>
      </c>
      <c r="BO33" s="252" t="str">
        <f>IF(ISERROR(VLOOKUP($B33&amp;$AC$4&amp;X$25,【進行】結果入力表!$Q$7:$V$150,3,FALSE)),"",VLOOKUP($B33&amp;$AC$4&amp;X$25,【進行】結果入力表!$Q$7:$V$150,3,FALSE))</f>
        <v/>
      </c>
      <c r="BP33" s="252" t="str">
        <f>IF(ISERROR(VLOOKUP($B33&amp;$AC$4&amp;AH$25,【進行】結果入力表!$Q$7:$V$150,3,FALSE)),"",VLOOKUP($B33&amp;$AC$4&amp;AH$25,【進行】結果入力表!$Q$7:$V$150,3,FALSE))</f>
        <v/>
      </c>
      <c r="BQ33" s="252" t="str">
        <f>IF(ISERROR(VLOOKUP($B33&amp;$AW$4&amp;AR$25,【進行】結果入力表!$Q$7:$V$150,3,FALSE)),"",VLOOKUP($B33&amp;$AW$4&amp;AR$25,【進行】結果入力表!$Q$7:$V$150,3,FALSE))</f>
        <v/>
      </c>
      <c r="BR33" s="253" t="str">
        <f>IF(ISERROR(VLOOKUP($B33&amp;$AW$4&amp;BB$25,【進行】結果入力表!$Q$7:$V$150,3,FALSE)),"",VLOOKUP($B33&amp;$AW$4&amp;BB$25,【進行】結果入力表!$Q$7:$V$150,3,FALSE))</f>
        <v/>
      </c>
      <c r="BS33" s="15"/>
      <c r="BT33" s="254">
        <f t="shared" si="123"/>
        <v>0</v>
      </c>
      <c r="BU33" s="254">
        <f t="shared" si="123"/>
        <v>0</v>
      </c>
      <c r="BV33" s="254">
        <f t="shared" si="124"/>
        <v>0</v>
      </c>
      <c r="BW33" s="254">
        <f t="shared" si="125"/>
        <v>0</v>
      </c>
      <c r="BX33" s="254">
        <f t="shared" si="126"/>
        <v>5</v>
      </c>
      <c r="BY33" s="254" t="str">
        <f t="shared" si="127"/>
        <v/>
      </c>
      <c r="BZ33" s="254" t="str">
        <f t="shared" si="128"/>
        <v>NRC</v>
      </c>
      <c r="CA33" s="254">
        <f t="shared" si="129"/>
        <v>0</v>
      </c>
      <c r="CB33" s="254"/>
      <c r="CC33" s="68" t="str">
        <f>IF(B33="","",COUNTIF(F33:BC33,"w"))</f>
        <v/>
      </c>
      <c r="CD33" s="69" t="str">
        <f>IF(B33="","",COUNT(F33,N33,AH33,X33,AR33,BB33))</f>
        <v/>
      </c>
      <c r="CE33" s="238" t="str">
        <f>IF(CC33="","",CC33*180+SUM(F33,N33,AH33,X33,AR33,BB33)*180/E33)</f>
        <v/>
      </c>
      <c r="CF33" s="70" t="str">
        <f>IF(B33="","",CC33*100000+CE33)</f>
        <v/>
      </c>
      <c r="CG33" s="15"/>
      <c r="CH33" s="15"/>
      <c r="CS33" s="8">
        <f>SUM(CM33:CR33)</f>
        <v>0</v>
      </c>
    </row>
    <row r="34" spans="1:97" ht="17.25" customHeight="1">
      <c r="A34" s="383"/>
      <c r="B34" s="390" t="s">
        <v>61</v>
      </c>
      <c r="C34" s="391"/>
      <c r="D34" s="392"/>
      <c r="E34" s="100"/>
      <c r="F34" s="364"/>
      <c r="G34" s="346"/>
      <c r="H34" s="27">
        <f>IF(COUNTBLANK(H26:H33)=8,"",SUM(H26:H33))</f>
        <v>3</v>
      </c>
      <c r="I34" s="27">
        <f>IF(COUNTBLANK(I26:I33)=8,"",SUM(I26:I33))</f>
        <v>3</v>
      </c>
      <c r="J34" s="365">
        <f>IF($B26="","",SUM(J26:J33))</f>
        <v>861</v>
      </c>
      <c r="K34" s="366">
        <f>IF($B26="","",SUM(K26:K33))</f>
        <v>0</v>
      </c>
      <c r="L34" s="345">
        <f>IF(COUNTBLANK(L26:L33)=8,"",SUM(L26:L33))</f>
        <v>889.57142857142856</v>
      </c>
      <c r="M34" s="360">
        <f>IF($B26="","",SUM(M26:M33))</f>
        <v>0</v>
      </c>
      <c r="N34" s="364"/>
      <c r="O34" s="346"/>
      <c r="P34" s="155">
        <f>SUM(P26:P33)</f>
        <v>2</v>
      </c>
      <c r="Q34" s="155">
        <f>SUM(Q26:Q33)</f>
        <v>4</v>
      </c>
      <c r="R34" s="27">
        <f>IF(COUNTBLANK(R26:R33)=8,"",SUM(H34,P34))</f>
        <v>5</v>
      </c>
      <c r="S34" s="27">
        <f>IF(COUNTBLANK(S26:S33)=8,"",SUM(I34,Q34))</f>
        <v>7</v>
      </c>
      <c r="T34" s="365">
        <f>IF($B26="","",SUM(T26:T33))</f>
        <v>1583</v>
      </c>
      <c r="U34" s="366">
        <f>IF($B26="","",SUM(U26:U33))</f>
        <v>0</v>
      </c>
      <c r="V34" s="345">
        <f>IF(COUNTBLANK(V26:V33)=8,"",SUM(V26:V33))</f>
        <v>1628.4285714285713</v>
      </c>
      <c r="W34" s="360">
        <f>IF($B26="","",SUM(W26:W33))</f>
        <v>0</v>
      </c>
      <c r="X34" s="364"/>
      <c r="Y34" s="346"/>
      <c r="Z34" s="155">
        <f>SUM(Z26:Z33)</f>
        <v>2</v>
      </c>
      <c r="AA34" s="155">
        <f>SUM(AA26:AA33)</f>
        <v>4</v>
      </c>
      <c r="AB34" s="27">
        <f>IF(COUNTBLANK(AB26:AB33)=8,"",SUM(R34,Z34))</f>
        <v>7</v>
      </c>
      <c r="AC34" s="27">
        <f>IF(COUNTBLANK(AC26:AC33)=8,"",SUM(S34,AA34))</f>
        <v>11</v>
      </c>
      <c r="AD34" s="365">
        <f>IF($B26="","",SUM(AD26:AD33))</f>
        <v>2087</v>
      </c>
      <c r="AE34" s="366">
        <f>IF($B26="","",SUM(AE26:AE33))</f>
        <v>0</v>
      </c>
      <c r="AF34" s="345">
        <f>IF(COUNTBLANK(AF26:AF33)=8,"",SUM(AF26:AF33))</f>
        <v>2143.8571428571427</v>
      </c>
      <c r="AG34" s="360">
        <f>IF($B26="","",SUM(AG26:AG33))</f>
        <v>0</v>
      </c>
      <c r="AH34" s="364"/>
      <c r="AI34" s="346"/>
      <c r="AJ34" s="155">
        <f>SUM(AJ26:AJ33)</f>
        <v>2</v>
      </c>
      <c r="AK34" s="155">
        <f>SUM(AK26:AK33)</f>
        <v>4</v>
      </c>
      <c r="AL34" s="27">
        <f>IF(COUNTBLANK(AL26:AL33)=8,"",SUM(AB34,AJ34))</f>
        <v>9</v>
      </c>
      <c r="AM34" s="27">
        <f>IF(COUNTBLANK(AM26:AM33)=8,"",SUM(AC34,AK34))</f>
        <v>15</v>
      </c>
      <c r="AN34" s="365">
        <f>IF($B26="","",SUM(AN26:AN33))</f>
        <v>2714</v>
      </c>
      <c r="AO34" s="366">
        <f>IF($B26="","",SUM(AO26:AO33))</f>
        <v>0</v>
      </c>
      <c r="AP34" s="345">
        <f>IF(COUNTBLANK(AP26:AP33)=8,"",SUM(AP26:AP33))</f>
        <v>2783.7142857142858</v>
      </c>
      <c r="AQ34" s="360">
        <f>IF($B26="","",SUM(AQ26:AQ33))</f>
        <v>0</v>
      </c>
      <c r="AR34" s="364"/>
      <c r="AS34" s="346"/>
      <c r="AT34" s="155">
        <f>SUM(AT26:AT33)</f>
        <v>1</v>
      </c>
      <c r="AU34" s="155">
        <f>SUM(AU26:AU33)</f>
        <v>5</v>
      </c>
      <c r="AV34" s="27">
        <f>IF(COUNTBLANK(AV26:AV33)=8,"",SUM(AL34,AT34))</f>
        <v>10</v>
      </c>
      <c r="AW34" s="27">
        <f>IF(COUNTBLANK(AW26:AW33)=8,"",SUM(AM34,AU34))</f>
        <v>20</v>
      </c>
      <c r="AX34" s="365">
        <f>IF($B26="","",SUM(AX26:AX33))</f>
        <v>3414</v>
      </c>
      <c r="AY34" s="366">
        <f>IF($B26="","",SUM(AY26:AY33))</f>
        <v>0</v>
      </c>
      <c r="AZ34" s="345">
        <f>IF(COUNTBLANK(AZ26:AZ33)=8,"",SUM(AZ26:AZ33))</f>
        <v>3506</v>
      </c>
      <c r="BA34" s="360">
        <f>IF($B26="","",SUM(BA26:BA33))</f>
        <v>0</v>
      </c>
      <c r="BB34" s="364"/>
      <c r="BC34" s="346"/>
      <c r="BD34" s="155">
        <f>SUM(BD26:BD33)</f>
        <v>3</v>
      </c>
      <c r="BE34" s="155">
        <f>SUM(BE26:BE33)</f>
        <v>3</v>
      </c>
      <c r="BF34" s="27">
        <f>IF(COUNTBLANK(BF26:BF33)=8,"",SUM(AV34,BD34))</f>
        <v>13</v>
      </c>
      <c r="BG34" s="27">
        <f>IF(COUNTBLANK(BG26:BG33)=8,"",SUM(AW34,BE34))</f>
        <v>23</v>
      </c>
      <c r="BH34" s="365">
        <f>IF(COUNTIF(BH26:BI33,"")=16,"",SUM(BH26:BH33))</f>
        <v>4281</v>
      </c>
      <c r="BI34" s="366">
        <f>IF($B26="","",SUM(BI26:BI33))</f>
        <v>0</v>
      </c>
      <c r="BJ34" s="345">
        <f>IF(COUNTBLANK(BJ26:BJ33)=8,"",SUM(BJ26:BJ33))</f>
        <v>4404.4285714285716</v>
      </c>
      <c r="BK34" s="346">
        <f>IF($B26="","",SUM(BK26:BK33))</f>
        <v>0</v>
      </c>
      <c r="BL34" s="28"/>
      <c r="BM34" s="29"/>
      <c r="BN34" s="30"/>
      <c r="BO34" s="30"/>
      <c r="BP34" s="30"/>
      <c r="BQ34" s="30"/>
      <c r="BR34" s="31"/>
      <c r="BS34" s="15"/>
      <c r="BT34" s="15"/>
      <c r="BU34" s="15"/>
      <c r="BV34" s="15"/>
      <c r="BW34" s="15"/>
      <c r="BX34" s="15"/>
      <c r="BY34" s="15"/>
      <c r="BZ34" s="254"/>
      <c r="CA34" s="15"/>
      <c r="CB34" s="15"/>
      <c r="CC34" s="65">
        <f>SUM(CC26:CC33)</f>
        <v>13</v>
      </c>
      <c r="CD34" s="66">
        <f>SUM(CD26:CD33)</f>
        <v>23</v>
      </c>
      <c r="CE34" s="66">
        <f>SUM(CE26:CE33)</f>
        <v>4404.4285714285716</v>
      </c>
      <c r="CF34" s="67">
        <f>SUM(CF26:CF33)</f>
        <v>1304404.4285714286</v>
      </c>
      <c r="CG34" s="15"/>
      <c r="CH34" s="15"/>
    </row>
    <row r="35" spans="1:97" ht="14.4">
      <c r="B35" s="169" t="s">
        <v>62</v>
      </c>
      <c r="C35" s="159" t="s">
        <v>63</v>
      </c>
      <c r="BK35" s="244"/>
      <c r="BZ35" s="254"/>
    </row>
    <row r="36" spans="1:97">
      <c r="BK36" s="244"/>
    </row>
    <row r="37" spans="1:97">
      <c r="BK37" s="244"/>
    </row>
    <row r="38" spans="1:97">
      <c r="BK38" s="244"/>
    </row>
    <row r="39" spans="1:97">
      <c r="BK39" s="244"/>
    </row>
    <row r="40" spans="1:97">
      <c r="BK40" s="244"/>
    </row>
    <row r="41" spans="1:97">
      <c r="BK41" s="244"/>
    </row>
    <row r="42" spans="1:97">
      <c r="BK42" s="244"/>
    </row>
  </sheetData>
  <mergeCells count="575">
    <mergeCell ref="BM2:BR2"/>
    <mergeCell ref="AX34:AY34"/>
    <mergeCell ref="AD34:AE34"/>
    <mergeCell ref="BB34:BC34"/>
    <mergeCell ref="BH34:BI34"/>
    <mergeCell ref="AR34:AS34"/>
    <mergeCell ref="AR32:AS32"/>
    <mergeCell ref="BH32:BI32"/>
    <mergeCell ref="BB32:BC32"/>
    <mergeCell ref="BH33:BI33"/>
    <mergeCell ref="BB33:BC33"/>
    <mergeCell ref="J33:K33"/>
    <mergeCell ref="X33:Y33"/>
    <mergeCell ref="AN33:AO33"/>
    <mergeCell ref="AH33:AI33"/>
    <mergeCell ref="V33:W33"/>
    <mergeCell ref="B34:D34"/>
    <mergeCell ref="F34:G34"/>
    <mergeCell ref="T34:U34"/>
    <mergeCell ref="N34:O34"/>
    <mergeCell ref="J34:K34"/>
    <mergeCell ref="L34:M34"/>
    <mergeCell ref="AH34:AI34"/>
    <mergeCell ref="AN34:AO34"/>
    <mergeCell ref="AX33:AY33"/>
    <mergeCell ref="X34:Y34"/>
    <mergeCell ref="AD33:AE33"/>
    <mergeCell ref="AR33:AS33"/>
    <mergeCell ref="AF33:AG33"/>
    <mergeCell ref="AF34:AG34"/>
    <mergeCell ref="AP33:AQ33"/>
    <mergeCell ref="AP34:AQ34"/>
    <mergeCell ref="V34:W34"/>
    <mergeCell ref="AD32:AE32"/>
    <mergeCell ref="AF32:AG32"/>
    <mergeCell ref="T32:U32"/>
    <mergeCell ref="N32:O32"/>
    <mergeCell ref="AD31:AE31"/>
    <mergeCell ref="AF31:AG31"/>
    <mergeCell ref="V32:W32"/>
    <mergeCell ref="B33:D33"/>
    <mergeCell ref="F33:G33"/>
    <mergeCell ref="T33:U33"/>
    <mergeCell ref="N33:O33"/>
    <mergeCell ref="L33:M33"/>
    <mergeCell ref="X32:Y32"/>
    <mergeCell ref="J32:K32"/>
    <mergeCell ref="L32:M32"/>
    <mergeCell ref="B32:D32"/>
    <mergeCell ref="F32:G32"/>
    <mergeCell ref="BH31:BI31"/>
    <mergeCell ref="BB31:BC31"/>
    <mergeCell ref="AX31:AY31"/>
    <mergeCell ref="AZ31:BA31"/>
    <mergeCell ref="AP31:AQ31"/>
    <mergeCell ref="B31:D31"/>
    <mergeCell ref="F31:G31"/>
    <mergeCell ref="T31:U31"/>
    <mergeCell ref="N31:O31"/>
    <mergeCell ref="J31:K31"/>
    <mergeCell ref="F30:G30"/>
    <mergeCell ref="T30:U30"/>
    <mergeCell ref="N30:O30"/>
    <mergeCell ref="J30:K30"/>
    <mergeCell ref="L30:M30"/>
    <mergeCell ref="B29:D29"/>
    <mergeCell ref="L31:M31"/>
    <mergeCell ref="X30:Y30"/>
    <mergeCell ref="AN30:AO30"/>
    <mergeCell ref="AH30:AI30"/>
    <mergeCell ref="AD30:AE30"/>
    <mergeCell ref="AF30:AG30"/>
    <mergeCell ref="V31:W31"/>
    <mergeCell ref="X31:Y31"/>
    <mergeCell ref="V30:W30"/>
    <mergeCell ref="BH30:BI30"/>
    <mergeCell ref="BB30:BC30"/>
    <mergeCell ref="AX30:AY30"/>
    <mergeCell ref="AZ30:BA30"/>
    <mergeCell ref="BH29:BI29"/>
    <mergeCell ref="V29:W29"/>
    <mergeCell ref="BB29:BC29"/>
    <mergeCell ref="AX29:AY29"/>
    <mergeCell ref="AZ29:BA29"/>
    <mergeCell ref="F28:G28"/>
    <mergeCell ref="T28:U28"/>
    <mergeCell ref="N28:O28"/>
    <mergeCell ref="J28:K28"/>
    <mergeCell ref="X28:Y28"/>
    <mergeCell ref="V28:W28"/>
    <mergeCell ref="AD28:AE28"/>
    <mergeCell ref="X29:Y29"/>
    <mergeCell ref="AN29:AO29"/>
    <mergeCell ref="AH29:AI29"/>
    <mergeCell ref="AD29:AE29"/>
    <mergeCell ref="AF29:AG29"/>
    <mergeCell ref="F29:G29"/>
    <mergeCell ref="T29:U29"/>
    <mergeCell ref="N29:O29"/>
    <mergeCell ref="J29:K29"/>
    <mergeCell ref="J27:K27"/>
    <mergeCell ref="L27:M27"/>
    <mergeCell ref="T27:U27"/>
    <mergeCell ref="BH28:BI28"/>
    <mergeCell ref="BB28:BC28"/>
    <mergeCell ref="AX28:AY28"/>
    <mergeCell ref="AZ28:BA28"/>
    <mergeCell ref="X27:Y27"/>
    <mergeCell ref="AN27:AO27"/>
    <mergeCell ref="AH27:AI27"/>
    <mergeCell ref="AD27:AE27"/>
    <mergeCell ref="AR27:AS27"/>
    <mergeCell ref="BH27:BI27"/>
    <mergeCell ref="BB27:BC27"/>
    <mergeCell ref="AX27:AY27"/>
    <mergeCell ref="BH26:BI26"/>
    <mergeCell ref="BB26:BC26"/>
    <mergeCell ref="AX26:AY26"/>
    <mergeCell ref="B25:D25"/>
    <mergeCell ref="F25:G25"/>
    <mergeCell ref="T25:U25"/>
    <mergeCell ref="N25:O25"/>
    <mergeCell ref="J25:K25"/>
    <mergeCell ref="BH25:BI25"/>
    <mergeCell ref="BB25:BC25"/>
    <mergeCell ref="AX25:AY25"/>
    <mergeCell ref="AR25:AS25"/>
    <mergeCell ref="AR26:AS26"/>
    <mergeCell ref="AZ25:BA25"/>
    <mergeCell ref="AZ26:BA26"/>
    <mergeCell ref="B26:D26"/>
    <mergeCell ref="F26:G26"/>
    <mergeCell ref="T26:U26"/>
    <mergeCell ref="N26:O26"/>
    <mergeCell ref="J26:K26"/>
    <mergeCell ref="B27:D27"/>
    <mergeCell ref="F27:G27"/>
    <mergeCell ref="X26:Y26"/>
    <mergeCell ref="AD25:AE25"/>
    <mergeCell ref="AN26:AO26"/>
    <mergeCell ref="X25:Y25"/>
    <mergeCell ref="AH25:AI25"/>
    <mergeCell ref="AD26:AE26"/>
    <mergeCell ref="AH26:AI26"/>
    <mergeCell ref="V25:W25"/>
    <mergeCell ref="V26:W26"/>
    <mergeCell ref="BH23:BI23"/>
    <mergeCell ref="BB23:BC23"/>
    <mergeCell ref="AF25:AG25"/>
    <mergeCell ref="AP23:AQ23"/>
    <mergeCell ref="AR23:AS23"/>
    <mergeCell ref="AH24:AI24"/>
    <mergeCell ref="AN24:AO24"/>
    <mergeCell ref="AF23:AG23"/>
    <mergeCell ref="AN23:AO23"/>
    <mergeCell ref="AH23:AI23"/>
    <mergeCell ref="AD23:AE23"/>
    <mergeCell ref="B23:D23"/>
    <mergeCell ref="F23:G23"/>
    <mergeCell ref="T23:U23"/>
    <mergeCell ref="N23:O23"/>
    <mergeCell ref="J23:K23"/>
    <mergeCell ref="L23:M23"/>
    <mergeCell ref="V23:W23"/>
    <mergeCell ref="F24:G24"/>
    <mergeCell ref="J24:K24"/>
    <mergeCell ref="X24:Y24"/>
    <mergeCell ref="AD24:AE24"/>
    <mergeCell ref="L24:M24"/>
    <mergeCell ref="AX22:AY22"/>
    <mergeCell ref="AZ22:BA22"/>
    <mergeCell ref="AX21:AY21"/>
    <mergeCell ref="AZ21:BA21"/>
    <mergeCell ref="AD22:AE22"/>
    <mergeCell ref="AF22:AG22"/>
    <mergeCell ref="F22:G22"/>
    <mergeCell ref="T22:U22"/>
    <mergeCell ref="N22:O22"/>
    <mergeCell ref="J22:K22"/>
    <mergeCell ref="L22:M22"/>
    <mergeCell ref="F21:G21"/>
    <mergeCell ref="T21:U21"/>
    <mergeCell ref="N21:O21"/>
    <mergeCell ref="J21:K21"/>
    <mergeCell ref="L21:M21"/>
    <mergeCell ref="AR22:AS22"/>
    <mergeCell ref="AP22:AQ22"/>
    <mergeCell ref="X22:Y22"/>
    <mergeCell ref="AN22:AO22"/>
    <mergeCell ref="AH22:AI22"/>
    <mergeCell ref="AX20:AY20"/>
    <mergeCell ref="AZ20:BA20"/>
    <mergeCell ref="AX19:AY19"/>
    <mergeCell ref="AZ19:BA19"/>
    <mergeCell ref="F20:G20"/>
    <mergeCell ref="T20:U20"/>
    <mergeCell ref="N20:O20"/>
    <mergeCell ref="J20:K20"/>
    <mergeCell ref="L20:M20"/>
    <mergeCell ref="AR20:AS20"/>
    <mergeCell ref="AP20:AQ20"/>
    <mergeCell ref="X20:Y20"/>
    <mergeCell ref="AN20:AO20"/>
    <mergeCell ref="AH20:AI20"/>
    <mergeCell ref="AD20:AE20"/>
    <mergeCell ref="AF20:AG20"/>
    <mergeCell ref="AR19:AS19"/>
    <mergeCell ref="AP19:AQ19"/>
    <mergeCell ref="AN19:AO19"/>
    <mergeCell ref="AN18:AO18"/>
    <mergeCell ref="AH18:AI18"/>
    <mergeCell ref="F19:G19"/>
    <mergeCell ref="T19:U19"/>
    <mergeCell ref="N19:O19"/>
    <mergeCell ref="J19:K19"/>
    <mergeCell ref="L19:M19"/>
    <mergeCell ref="X19:Y19"/>
    <mergeCell ref="V19:W19"/>
    <mergeCell ref="AX18:AY18"/>
    <mergeCell ref="AZ18:BA18"/>
    <mergeCell ref="AR18:AS18"/>
    <mergeCell ref="BH17:BI17"/>
    <mergeCell ref="BB17:BC17"/>
    <mergeCell ref="F18:G18"/>
    <mergeCell ref="T18:U18"/>
    <mergeCell ref="N18:O18"/>
    <mergeCell ref="J18:K18"/>
    <mergeCell ref="L18:M18"/>
    <mergeCell ref="X18:Y18"/>
    <mergeCell ref="AD18:AE18"/>
    <mergeCell ref="AF18:AG18"/>
    <mergeCell ref="X15:Y15"/>
    <mergeCell ref="AH15:AI15"/>
    <mergeCell ref="AD15:AE15"/>
    <mergeCell ref="AF15:AG15"/>
    <mergeCell ref="AH14:AI14"/>
    <mergeCell ref="AN14:AO14"/>
    <mergeCell ref="AF14:AG14"/>
    <mergeCell ref="AN15:AO15"/>
    <mergeCell ref="AR14:AS14"/>
    <mergeCell ref="AP14:AQ14"/>
    <mergeCell ref="AP15:AQ15"/>
    <mergeCell ref="AR15:AS15"/>
    <mergeCell ref="AD11:AE11"/>
    <mergeCell ref="AH12:AI12"/>
    <mergeCell ref="AD12:AE12"/>
    <mergeCell ref="AF12:AG12"/>
    <mergeCell ref="AN12:AO12"/>
    <mergeCell ref="AF13:AG13"/>
    <mergeCell ref="AH13:AI13"/>
    <mergeCell ref="AD13:AE13"/>
    <mergeCell ref="BH12:BI12"/>
    <mergeCell ref="AR13:AS13"/>
    <mergeCell ref="AX13:AY13"/>
    <mergeCell ref="BB13:BC13"/>
    <mergeCell ref="BH13:BI13"/>
    <mergeCell ref="AR12:AS12"/>
    <mergeCell ref="AR8:AS8"/>
    <mergeCell ref="AX8:AY8"/>
    <mergeCell ref="AR6:AS6"/>
    <mergeCell ref="AZ6:BA6"/>
    <mergeCell ref="BH9:BI9"/>
    <mergeCell ref="AZ9:BA9"/>
    <mergeCell ref="BH10:BI10"/>
    <mergeCell ref="AZ10:BA10"/>
    <mergeCell ref="AR10:AS10"/>
    <mergeCell ref="AX10:AY10"/>
    <mergeCell ref="AN6:AO6"/>
    <mergeCell ref="AH6:AI6"/>
    <mergeCell ref="AX7:AY7"/>
    <mergeCell ref="AF6:AG6"/>
    <mergeCell ref="AF7:AG7"/>
    <mergeCell ref="AP7:AQ7"/>
    <mergeCell ref="AP6:AQ6"/>
    <mergeCell ref="X5:Y5"/>
    <mergeCell ref="AD5:AE5"/>
    <mergeCell ref="AH5:AI5"/>
    <mergeCell ref="AN5:AO5"/>
    <mergeCell ref="AF5:AG5"/>
    <mergeCell ref="AX5:AY5"/>
    <mergeCell ref="AR5:AS5"/>
    <mergeCell ref="AP5:AQ5"/>
    <mergeCell ref="AR7:AS7"/>
    <mergeCell ref="AX6:AY6"/>
    <mergeCell ref="X6:Y6"/>
    <mergeCell ref="X7:Y7"/>
    <mergeCell ref="AD8:AE8"/>
    <mergeCell ref="AD10:AE10"/>
    <mergeCell ref="T9:U9"/>
    <mergeCell ref="T10:U10"/>
    <mergeCell ref="AD7:AE7"/>
    <mergeCell ref="T8:U8"/>
    <mergeCell ref="X10:Y10"/>
    <mergeCell ref="V9:W9"/>
    <mergeCell ref="AD6:AE6"/>
    <mergeCell ref="AD9:AE9"/>
    <mergeCell ref="F7:G7"/>
    <mergeCell ref="F8:G8"/>
    <mergeCell ref="F5:G5"/>
    <mergeCell ref="F6:G6"/>
    <mergeCell ref="J11:K11"/>
    <mergeCell ref="N8:O8"/>
    <mergeCell ref="N9:O9"/>
    <mergeCell ref="N10:O10"/>
    <mergeCell ref="N11:O11"/>
    <mergeCell ref="L11:M11"/>
    <mergeCell ref="L9:M9"/>
    <mergeCell ref="J6:K6"/>
    <mergeCell ref="J7:K7"/>
    <mergeCell ref="J8:K8"/>
    <mergeCell ref="J9:K9"/>
    <mergeCell ref="L7:M7"/>
    <mergeCell ref="L8:M8"/>
    <mergeCell ref="J10:K10"/>
    <mergeCell ref="J5:K5"/>
    <mergeCell ref="T5:U5"/>
    <mergeCell ref="N6:O6"/>
    <mergeCell ref="N7:O7"/>
    <mergeCell ref="T6:U6"/>
    <mergeCell ref="T7:U7"/>
    <mergeCell ref="A25:A34"/>
    <mergeCell ref="B13:D13"/>
    <mergeCell ref="B9:D9"/>
    <mergeCell ref="B10:D10"/>
    <mergeCell ref="B11:D11"/>
    <mergeCell ref="B12:D12"/>
    <mergeCell ref="B14:D14"/>
    <mergeCell ref="B15:D15"/>
    <mergeCell ref="B19:D19"/>
    <mergeCell ref="B20:D20"/>
    <mergeCell ref="B16:D16"/>
    <mergeCell ref="B28:D28"/>
    <mergeCell ref="B30:D30"/>
    <mergeCell ref="A5:A14"/>
    <mergeCell ref="A15:A24"/>
    <mergeCell ref="B5:D5"/>
    <mergeCell ref="B6:D6"/>
    <mergeCell ref="B7:D7"/>
    <mergeCell ref="B8:D8"/>
    <mergeCell ref="B21:D21"/>
    <mergeCell ref="B22:D22"/>
    <mergeCell ref="B24:D24"/>
    <mergeCell ref="B17:D17"/>
    <mergeCell ref="B18:D18"/>
    <mergeCell ref="L10:M10"/>
    <mergeCell ref="F9:G9"/>
    <mergeCell ref="F10:G10"/>
    <mergeCell ref="J12:K12"/>
    <mergeCell ref="J13:K13"/>
    <mergeCell ref="J14:K14"/>
    <mergeCell ref="F11:G11"/>
    <mergeCell ref="L15:M15"/>
    <mergeCell ref="F12:G12"/>
    <mergeCell ref="F14:G14"/>
    <mergeCell ref="F13:G13"/>
    <mergeCell ref="F15:G15"/>
    <mergeCell ref="J15:K15"/>
    <mergeCell ref="F16:G16"/>
    <mergeCell ref="J16:K16"/>
    <mergeCell ref="L16:M16"/>
    <mergeCell ref="F17:G17"/>
    <mergeCell ref="J17:K17"/>
    <mergeCell ref="L17:M17"/>
    <mergeCell ref="T11:U11"/>
    <mergeCell ref="N14:O14"/>
    <mergeCell ref="L5:M5"/>
    <mergeCell ref="L6:M6"/>
    <mergeCell ref="N13:O13"/>
    <mergeCell ref="L28:M28"/>
    <mergeCell ref="L29:M29"/>
    <mergeCell ref="V5:W5"/>
    <mergeCell ref="V6:W6"/>
    <mergeCell ref="V7:W7"/>
    <mergeCell ref="V8:W8"/>
    <mergeCell ref="L26:M26"/>
    <mergeCell ref="N5:O5"/>
    <mergeCell ref="T15:U15"/>
    <mergeCell ref="N15:O15"/>
    <mergeCell ref="T16:U16"/>
    <mergeCell ref="N16:O16"/>
    <mergeCell ref="T17:U17"/>
    <mergeCell ref="N17:O17"/>
    <mergeCell ref="L25:M25"/>
    <mergeCell ref="L12:M12"/>
    <mergeCell ref="V15:W15"/>
    <mergeCell ref="V16:W16"/>
    <mergeCell ref="T12:U12"/>
    <mergeCell ref="T13:U13"/>
    <mergeCell ref="V12:W12"/>
    <mergeCell ref="V13:W13"/>
    <mergeCell ref="L13:M13"/>
    <mergeCell ref="V14:W14"/>
    <mergeCell ref="L14:M14"/>
    <mergeCell ref="T14:U14"/>
    <mergeCell ref="N12:O12"/>
    <mergeCell ref="V27:W27"/>
    <mergeCell ref="N27:O27"/>
    <mergeCell ref="AF27:AG27"/>
    <mergeCell ref="V21:W21"/>
    <mergeCell ref="AD16:AE16"/>
    <mergeCell ref="AF16:AG16"/>
    <mergeCell ref="X17:Y17"/>
    <mergeCell ref="N24:O24"/>
    <mergeCell ref="AF26:AG26"/>
    <mergeCell ref="AF24:AG24"/>
    <mergeCell ref="T24:U24"/>
    <mergeCell ref="V24:W24"/>
    <mergeCell ref="V17:W17"/>
    <mergeCell ref="V18:W18"/>
    <mergeCell ref="V22:W22"/>
    <mergeCell ref="X16:Y16"/>
    <mergeCell ref="AD17:AE17"/>
    <mergeCell ref="AF17:AG17"/>
    <mergeCell ref="AD19:AE19"/>
    <mergeCell ref="AF19:AG19"/>
    <mergeCell ref="X21:Y21"/>
    <mergeCell ref="AD21:AE21"/>
    <mergeCell ref="AF21:AG21"/>
    <mergeCell ref="X23:Y23"/>
    <mergeCell ref="V10:W10"/>
    <mergeCell ref="AN7:AO7"/>
    <mergeCell ref="AH7:AI7"/>
    <mergeCell ref="X8:Y8"/>
    <mergeCell ref="AN8:AO8"/>
    <mergeCell ref="X9:Y9"/>
    <mergeCell ref="X13:Y13"/>
    <mergeCell ref="X14:Y14"/>
    <mergeCell ref="V20:W20"/>
    <mergeCell ref="X12:Y12"/>
    <mergeCell ref="V11:W11"/>
    <mergeCell ref="AD14:AE14"/>
    <mergeCell ref="AN9:AO9"/>
    <mergeCell ref="AH10:AI10"/>
    <mergeCell ref="AH9:AI9"/>
    <mergeCell ref="AN13:AO13"/>
    <mergeCell ref="AF8:AG8"/>
    <mergeCell ref="AH8:AI8"/>
    <mergeCell ref="AF9:AG9"/>
    <mergeCell ref="X11:Y11"/>
    <mergeCell ref="AN11:AO11"/>
    <mergeCell ref="AF10:AG10"/>
    <mergeCell ref="AF11:AG11"/>
    <mergeCell ref="AH11:AI11"/>
    <mergeCell ref="AF28:AG28"/>
    <mergeCell ref="AN31:AO31"/>
    <mergeCell ref="AH31:AI31"/>
    <mergeCell ref="AN28:AO28"/>
    <mergeCell ref="AH28:AI28"/>
    <mergeCell ref="AP8:AQ8"/>
    <mergeCell ref="AP9:AQ9"/>
    <mergeCell ref="AP10:AQ10"/>
    <mergeCell ref="AP11:AQ11"/>
    <mergeCell ref="AP13:AQ13"/>
    <mergeCell ref="AP17:AQ17"/>
    <mergeCell ref="AP18:AQ18"/>
    <mergeCell ref="AN10:AO10"/>
    <mergeCell ref="AN16:AO16"/>
    <mergeCell ref="AH16:AI16"/>
    <mergeCell ref="AN17:AO17"/>
    <mergeCell ref="AH17:AI17"/>
    <mergeCell ref="AH19:AI19"/>
    <mergeCell ref="AN21:AO21"/>
    <mergeCell ref="AH21:AI21"/>
    <mergeCell ref="AP24:AQ24"/>
    <mergeCell ref="AH32:AI32"/>
    <mergeCell ref="AP29:AQ29"/>
    <mergeCell ref="AP30:AQ30"/>
    <mergeCell ref="AP25:AQ25"/>
    <mergeCell ref="AP27:AQ27"/>
    <mergeCell ref="AX23:AY23"/>
    <mergeCell ref="AR29:AS29"/>
    <mergeCell ref="AR30:AS30"/>
    <mergeCell ref="AR31:AS31"/>
    <mergeCell ref="AX32:AY32"/>
    <mergeCell ref="AN25:AO25"/>
    <mergeCell ref="AP32:AQ32"/>
    <mergeCell ref="AN32:AO32"/>
    <mergeCell ref="AR24:AS24"/>
    <mergeCell ref="AX24:AY24"/>
    <mergeCell ref="AR9:AS9"/>
    <mergeCell ref="AX9:AY9"/>
    <mergeCell ref="BB9:BC9"/>
    <mergeCell ref="BB11:BC11"/>
    <mergeCell ref="AX12:AY12"/>
    <mergeCell ref="BB10:BC10"/>
    <mergeCell ref="AX14:AY14"/>
    <mergeCell ref="BB12:BC12"/>
    <mergeCell ref="AP28:AQ28"/>
    <mergeCell ref="AR16:AS16"/>
    <mergeCell ref="AZ13:BA13"/>
    <mergeCell ref="AR28:AS28"/>
    <mergeCell ref="AP16:AQ16"/>
    <mergeCell ref="AP26:AQ26"/>
    <mergeCell ref="AZ27:BA27"/>
    <mergeCell ref="AR11:AS11"/>
    <mergeCell ref="AX11:AY11"/>
    <mergeCell ref="BB15:BC15"/>
    <mergeCell ref="AX15:AY15"/>
    <mergeCell ref="BB16:BC16"/>
    <mergeCell ref="AX16:AY16"/>
    <mergeCell ref="AZ16:BA16"/>
    <mergeCell ref="AX17:AY17"/>
    <mergeCell ref="AZ17:BA17"/>
    <mergeCell ref="AP12:AQ12"/>
    <mergeCell ref="BH11:BI11"/>
    <mergeCell ref="AZ11:BA11"/>
    <mergeCell ref="BB14:BC14"/>
    <mergeCell ref="BH14:BI14"/>
    <mergeCell ref="BJ28:BK28"/>
    <mergeCell ref="BJ24:BK24"/>
    <mergeCell ref="BJ25:BK25"/>
    <mergeCell ref="BJ26:BK26"/>
    <mergeCell ref="BJ27:BK27"/>
    <mergeCell ref="BJ17:BK17"/>
    <mergeCell ref="BJ18:BK18"/>
    <mergeCell ref="BJ19:BK19"/>
    <mergeCell ref="BJ23:BK23"/>
    <mergeCell ref="AZ24:BA24"/>
    <mergeCell ref="BJ13:BK13"/>
    <mergeCell ref="BJ14:BK14"/>
    <mergeCell ref="BJ15:BK15"/>
    <mergeCell ref="BJ20:BK20"/>
    <mergeCell ref="AR21:AS21"/>
    <mergeCell ref="AP21:AQ21"/>
    <mergeCell ref="BH15:BI15"/>
    <mergeCell ref="BH16:BI16"/>
    <mergeCell ref="AR17:AS17"/>
    <mergeCell ref="BM4:BR4"/>
    <mergeCell ref="BJ22:BK22"/>
    <mergeCell ref="BH6:BI6"/>
    <mergeCell ref="BB6:BC6"/>
    <mergeCell ref="BB7:BC7"/>
    <mergeCell ref="AZ14:BA14"/>
    <mergeCell ref="AZ15:BA15"/>
    <mergeCell ref="BJ12:BK12"/>
    <mergeCell ref="BJ10:BK10"/>
    <mergeCell ref="BJ11:BK11"/>
    <mergeCell ref="BJ5:BK5"/>
    <mergeCell ref="BJ6:BK6"/>
    <mergeCell ref="BJ7:BK7"/>
    <mergeCell ref="BJ8:BK8"/>
    <mergeCell ref="BJ9:BK9"/>
    <mergeCell ref="AZ7:BA7"/>
    <mergeCell ref="BB5:BC5"/>
    <mergeCell ref="AZ5:BA5"/>
    <mergeCell ref="BH5:BI5"/>
    <mergeCell ref="BB8:BC8"/>
    <mergeCell ref="BH7:BI7"/>
    <mergeCell ref="AZ8:BA8"/>
    <mergeCell ref="BH18:BI18"/>
    <mergeCell ref="BB18:BC18"/>
    <mergeCell ref="BJ32:BK32"/>
    <mergeCell ref="BJ33:BK33"/>
    <mergeCell ref="BJ34:BK34"/>
    <mergeCell ref="BJ29:BK29"/>
    <mergeCell ref="BJ30:BK30"/>
    <mergeCell ref="BJ31:BK31"/>
    <mergeCell ref="AZ23:BA23"/>
    <mergeCell ref="AZ12:BA12"/>
    <mergeCell ref="BH8:BI8"/>
    <mergeCell ref="BJ16:BK16"/>
    <mergeCell ref="BJ21:BK21"/>
    <mergeCell ref="AZ34:BA34"/>
    <mergeCell ref="AZ32:BA32"/>
    <mergeCell ref="AZ33:BA33"/>
    <mergeCell ref="BH19:BI19"/>
    <mergeCell ref="BB19:BC19"/>
    <mergeCell ref="BH20:BI20"/>
    <mergeCell ref="BB20:BC20"/>
    <mergeCell ref="BH21:BI21"/>
    <mergeCell ref="BB21:BC21"/>
    <mergeCell ref="BH22:BI22"/>
    <mergeCell ref="BB22:BC22"/>
    <mergeCell ref="BH24:BI24"/>
    <mergeCell ref="BB24:BC24"/>
  </mergeCells>
  <phoneticPr fontId="49"/>
  <conditionalFormatting sqref="BM26:BR33 BM16:BR23 BM6:BR13">
    <cfRule type="cellIs" dxfId="1" priority="1" stopIfTrue="1" operator="equal">
      <formula>MAX($BM$6:$BR$13,$BM$16:$BR$23,$BM$26:$BR$33)</formula>
    </cfRule>
  </conditionalFormatting>
  <conditionalFormatting sqref="BL5:BL34">
    <cfRule type="cellIs" dxfId="0" priority="2" stopIfTrue="1" operator="equal">
      <formula>1</formula>
    </cfRule>
  </conditionalFormatting>
  <printOptions horizontalCentered="1" verticalCentered="1"/>
  <pageMargins left="0.39305555555555555" right="0.39305555555555555" top="0.98402777777777772" bottom="0.39305555555555555" header="0.51111111111111107" footer="0.51111111111111107"/>
  <pageSetup paperSize="9" scale="99" firstPageNumber="4294963191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5:V150"/>
  <sheetViews>
    <sheetView topLeftCell="A46" zoomScale="130" zoomScaleNormal="130" workbookViewId="0">
      <selection activeCell="G58" sqref="G58"/>
    </sheetView>
  </sheetViews>
  <sheetFormatPr defaultColWidth="6.6640625" defaultRowHeight="18" customHeight="1"/>
  <cols>
    <col min="1" max="1" width="5.33203125" style="9" customWidth="1"/>
    <col min="2" max="2" width="6.6640625" style="9" bestFit="1" customWidth="1"/>
    <col min="3" max="3" width="6" style="9" customWidth="1"/>
    <col min="4" max="4" width="10.77734375" style="266" customWidth="1"/>
    <col min="5" max="8" width="5.6640625" style="56" customWidth="1"/>
    <col min="9" max="9" width="10.77734375" style="266" customWidth="1"/>
    <col min="10" max="10" width="6.6640625" style="9" customWidth="1"/>
    <col min="11" max="11" width="6.109375" style="9" customWidth="1"/>
    <col min="12" max="12" width="6.109375" style="236" customWidth="1"/>
    <col min="13" max="13" width="11.6640625" style="236" bestFit="1" customWidth="1"/>
    <col min="14" max="14" width="6.6640625" style="9" bestFit="1"/>
    <col min="15" max="15" width="6.6640625" style="9"/>
    <col min="16" max="16" width="3.77734375" style="9" bestFit="1" customWidth="1"/>
    <col min="17" max="17" width="17.33203125" style="9" bestFit="1" customWidth="1"/>
    <col min="18" max="20" width="6.6640625" style="9"/>
    <col min="21" max="22" width="9" style="9" bestFit="1" customWidth="1"/>
    <col min="23" max="16384" width="6.6640625" style="9"/>
  </cols>
  <sheetData>
    <row r="5" spans="1:22" ht="18" customHeight="1" thickBot="1"/>
    <row r="6" spans="1:22" ht="18" customHeight="1" thickBot="1">
      <c r="A6" s="56" t="s">
        <v>34</v>
      </c>
      <c r="B6" s="126" t="s">
        <v>25</v>
      </c>
      <c r="C6" s="55" t="s">
        <v>35</v>
      </c>
      <c r="D6" s="267" t="s">
        <v>36</v>
      </c>
      <c r="E6" s="127" t="s">
        <v>30</v>
      </c>
      <c r="F6" s="128" t="s">
        <v>29</v>
      </c>
      <c r="G6" s="55" t="s">
        <v>29</v>
      </c>
      <c r="H6" s="127" t="s">
        <v>30</v>
      </c>
      <c r="I6" s="270" t="s">
        <v>37</v>
      </c>
      <c r="J6" s="146" t="s">
        <v>38</v>
      </c>
      <c r="L6" s="236" t="s">
        <v>31</v>
      </c>
      <c r="P6" s="312" t="s">
        <v>344</v>
      </c>
      <c r="Q6" s="312" t="s">
        <v>345</v>
      </c>
      <c r="R6" s="312" t="s">
        <v>339</v>
      </c>
      <c r="S6" s="312" t="s">
        <v>340</v>
      </c>
      <c r="T6" s="312" t="s">
        <v>341</v>
      </c>
      <c r="U6" s="312" t="s">
        <v>342</v>
      </c>
      <c r="V6" s="312" t="s">
        <v>343</v>
      </c>
    </row>
    <row r="7" spans="1:22" ht="18" customHeight="1" thickTop="1">
      <c r="A7" s="9" t="str">
        <f>"第"&amp;【準備】登録!AE51&amp;"節"</f>
        <v>第1節</v>
      </c>
      <c r="B7" s="129">
        <f>【準備】登録!AF51</f>
        <v>1</v>
      </c>
      <c r="C7" s="130" t="str">
        <f>【準備】登録!AI51</f>
        <v>SBC</v>
      </c>
      <c r="D7" s="268" t="str">
        <f>【準備】登録!AK51</f>
        <v>大橋正寛</v>
      </c>
      <c r="E7" s="131"/>
      <c r="F7" s="261" t="s">
        <v>369</v>
      </c>
      <c r="G7" s="258">
        <v>49</v>
      </c>
      <c r="H7" s="131"/>
      <c r="I7" s="271" t="str">
        <f>【準備】登録!AL51</f>
        <v>宮本一</v>
      </c>
      <c r="J7" s="262" t="str">
        <f>【準備】登録!AN51</f>
        <v>HRC</v>
      </c>
      <c r="L7" s="236" t="str">
        <f t="shared" ref="L7:M12" si="0">C13</f>
        <v>NRC</v>
      </c>
      <c r="M7" s="236" t="str">
        <f t="shared" si="0"/>
        <v>吉向翔平</v>
      </c>
      <c r="P7" s="312">
        <f>B7</f>
        <v>1</v>
      </c>
      <c r="Q7" s="312" t="str">
        <f>D7&amp;【準備】登録!AE51&amp;J7</f>
        <v>大橋正寛1HRC</v>
      </c>
      <c r="R7" s="312" t="str">
        <f>IF(F7="","",F7)</f>
        <v>w</v>
      </c>
      <c r="S7" s="312" t="str">
        <f>IF(E7="","",E7)</f>
        <v/>
      </c>
      <c r="T7" s="312">
        <f>IF(G7="","",G7)</f>
        <v>49</v>
      </c>
      <c r="U7" s="312">
        <f>【準備】登録!AM51</f>
        <v>180</v>
      </c>
      <c r="V7" s="312">
        <f>【準備】登録!AJ51</f>
        <v>180</v>
      </c>
    </row>
    <row r="8" spans="1:22" ht="18" customHeight="1">
      <c r="A8" s="9" t="str">
        <f>"第"&amp;【準備】登録!AE52&amp;"節"</f>
        <v>第1節</v>
      </c>
      <c r="B8" s="132">
        <f>【準備】登録!AF52</f>
        <v>2</v>
      </c>
      <c r="C8" s="133" t="str">
        <f>【準備】登録!AI52</f>
        <v>SBC</v>
      </c>
      <c r="D8" s="269" t="str">
        <f>【準備】登録!AK52</f>
        <v>長田智紀</v>
      </c>
      <c r="E8" s="134"/>
      <c r="F8" s="260">
        <v>52</v>
      </c>
      <c r="G8" s="259" t="s">
        <v>369</v>
      </c>
      <c r="H8" s="134"/>
      <c r="I8" s="272" t="str">
        <f>【準備】登録!AL52</f>
        <v>堂園雅也</v>
      </c>
      <c r="J8" s="147" t="str">
        <f>【準備】登録!AN52</f>
        <v>HRC</v>
      </c>
      <c r="L8" s="236" t="str">
        <f t="shared" si="0"/>
        <v>NRC</v>
      </c>
      <c r="M8" s="236" t="str">
        <f t="shared" si="0"/>
        <v>岩本剛</v>
      </c>
      <c r="P8" s="312">
        <f t="shared" ref="P8:P71" si="1">B8</f>
        <v>2</v>
      </c>
      <c r="Q8" s="312" t="str">
        <f>D8&amp;【準備】登録!AE52&amp;J8</f>
        <v>長田智紀1HRC</v>
      </c>
      <c r="R8" s="312">
        <f t="shared" ref="R8:R71" si="2">IF(F8="","",F8)</f>
        <v>52</v>
      </c>
      <c r="S8" s="312" t="str">
        <f t="shared" ref="S8:S71" si="3">IF(E8="","",E8)</f>
        <v/>
      </c>
      <c r="T8" s="312" t="str">
        <f t="shared" ref="T8:T71" si="4">IF(G8="","",G8)</f>
        <v>w</v>
      </c>
      <c r="U8" s="312">
        <f>【準備】登録!AM52</f>
        <v>180</v>
      </c>
      <c r="V8" s="312">
        <f>【準備】登録!AJ52</f>
        <v>180</v>
      </c>
    </row>
    <row r="9" spans="1:22" ht="18" customHeight="1">
      <c r="A9" s="9" t="str">
        <f>"第"&amp;【準備】登録!AE53&amp;"節"</f>
        <v>第1節</v>
      </c>
      <c r="B9" s="132">
        <f>【準備】登録!AF53</f>
        <v>3</v>
      </c>
      <c r="C9" s="133" t="str">
        <f>【準備】登録!AI53</f>
        <v>SBC</v>
      </c>
      <c r="D9" s="269" t="str">
        <f>【準備】登録!AK53</f>
        <v>西峰久祐</v>
      </c>
      <c r="E9" s="134"/>
      <c r="F9" s="260">
        <v>129</v>
      </c>
      <c r="G9" s="259" t="s">
        <v>369</v>
      </c>
      <c r="H9" s="134"/>
      <c r="I9" s="272" t="str">
        <f>【準備】登録!AL53</f>
        <v>平井洸志</v>
      </c>
      <c r="J9" s="147" t="str">
        <f>【準備】登録!AN53</f>
        <v>HRC</v>
      </c>
      <c r="L9" s="236" t="str">
        <f t="shared" si="0"/>
        <v>NRC</v>
      </c>
      <c r="M9" s="236" t="str">
        <f t="shared" si="0"/>
        <v>長谷川進</v>
      </c>
      <c r="P9" s="312">
        <f t="shared" si="1"/>
        <v>3</v>
      </c>
      <c r="Q9" s="312" t="str">
        <f>D9&amp;【準備】登録!AE53&amp;J9</f>
        <v>西峰久祐1HRC</v>
      </c>
      <c r="R9" s="312">
        <f t="shared" si="2"/>
        <v>129</v>
      </c>
      <c r="S9" s="312" t="str">
        <f t="shared" si="3"/>
        <v/>
      </c>
      <c r="T9" s="312" t="str">
        <f t="shared" si="4"/>
        <v>w</v>
      </c>
      <c r="U9" s="312">
        <f>【準備】登録!AM53</f>
        <v>180</v>
      </c>
      <c r="V9" s="312">
        <f>【準備】登録!AJ53</f>
        <v>180</v>
      </c>
    </row>
    <row r="10" spans="1:22" ht="18" customHeight="1">
      <c r="A10" s="9" t="str">
        <f>"第"&amp;【準備】登録!AE54&amp;"節"</f>
        <v>第1節</v>
      </c>
      <c r="B10" s="132">
        <f>【準備】登録!AF54</f>
        <v>4</v>
      </c>
      <c r="C10" s="133" t="str">
        <f>【準備】登録!AI54</f>
        <v>SBC</v>
      </c>
      <c r="D10" s="269" t="str">
        <f>【準備】登録!AK54</f>
        <v>大橋義治</v>
      </c>
      <c r="E10" s="134"/>
      <c r="F10" s="260">
        <v>36</v>
      </c>
      <c r="G10" s="259" t="s">
        <v>369</v>
      </c>
      <c r="H10" s="134"/>
      <c r="I10" s="272" t="str">
        <f>【準備】登録!AL54</f>
        <v>宮井健太郎</v>
      </c>
      <c r="J10" s="147" t="str">
        <f>【準備】登録!AN54</f>
        <v>HRC</v>
      </c>
      <c r="L10" s="236" t="str">
        <f t="shared" si="0"/>
        <v>NRC</v>
      </c>
      <c r="M10" s="236" t="str">
        <f t="shared" si="0"/>
        <v>井本高史</v>
      </c>
      <c r="P10" s="312">
        <f t="shared" si="1"/>
        <v>4</v>
      </c>
      <c r="Q10" s="312" t="str">
        <f>D10&amp;【準備】登録!AE54&amp;J10</f>
        <v>大橋義治1HRC</v>
      </c>
      <c r="R10" s="312">
        <f t="shared" si="2"/>
        <v>36</v>
      </c>
      <c r="S10" s="312" t="str">
        <f t="shared" si="3"/>
        <v/>
      </c>
      <c r="T10" s="312" t="str">
        <f t="shared" si="4"/>
        <v>w</v>
      </c>
      <c r="U10" s="312">
        <f>【準備】登録!AM54</f>
        <v>180</v>
      </c>
      <c r="V10" s="312">
        <f>【準備】登録!AJ54</f>
        <v>180</v>
      </c>
    </row>
    <row r="11" spans="1:22" ht="18" customHeight="1">
      <c r="A11" s="9" t="str">
        <f>"第"&amp;【準備】登録!AE55&amp;"節"</f>
        <v>第1節</v>
      </c>
      <c r="B11" s="132">
        <f>【準備】登録!AF55</f>
        <v>5</v>
      </c>
      <c r="C11" s="133" t="str">
        <f>【準備】登録!AI55</f>
        <v>SBC</v>
      </c>
      <c r="D11" s="269" t="str">
        <f>【準備】登録!AK55</f>
        <v>山中康寛</v>
      </c>
      <c r="E11" s="134"/>
      <c r="F11" s="260" t="s">
        <v>369</v>
      </c>
      <c r="G11" s="259">
        <v>25</v>
      </c>
      <c r="H11" s="134"/>
      <c r="I11" s="272" t="str">
        <f>【準備】登録!AL55</f>
        <v>金井健太郎</v>
      </c>
      <c r="J11" s="147" t="str">
        <f>【準備】登録!AN55</f>
        <v>HRC</v>
      </c>
      <c r="L11" s="236" t="str">
        <f t="shared" si="0"/>
        <v>NRC</v>
      </c>
      <c r="M11" s="236" t="str">
        <f t="shared" si="0"/>
        <v>金澤茂昌</v>
      </c>
      <c r="P11" s="312">
        <f t="shared" si="1"/>
        <v>5</v>
      </c>
      <c r="Q11" s="312" t="str">
        <f>D11&amp;【準備】登録!AE55&amp;J11</f>
        <v>山中康寛1HRC</v>
      </c>
      <c r="R11" s="312" t="str">
        <f t="shared" si="2"/>
        <v>w</v>
      </c>
      <c r="S11" s="312" t="str">
        <f t="shared" si="3"/>
        <v/>
      </c>
      <c r="T11" s="312">
        <f t="shared" si="4"/>
        <v>25</v>
      </c>
      <c r="U11" s="312">
        <f>【準備】登録!AM55</f>
        <v>180</v>
      </c>
      <c r="V11" s="312">
        <f>【準備】登録!AJ55</f>
        <v>180</v>
      </c>
    </row>
    <row r="12" spans="1:22" ht="18" customHeight="1">
      <c r="A12" s="9" t="str">
        <f>"第"&amp;【準備】登録!AE56&amp;"節"</f>
        <v>第1節</v>
      </c>
      <c r="B12" s="132">
        <f>【準備】登録!AF56</f>
        <v>6</v>
      </c>
      <c r="C12" s="133" t="str">
        <f>【準備】登録!AI56</f>
        <v>SBC</v>
      </c>
      <c r="D12" s="269" t="str">
        <f>【準備】登録!AK56</f>
        <v>大橋洋子</v>
      </c>
      <c r="E12" s="134"/>
      <c r="F12" s="260" t="s">
        <v>369</v>
      </c>
      <c r="G12" s="259">
        <v>139</v>
      </c>
      <c r="H12" s="134"/>
      <c r="I12" s="272" t="str">
        <f>【準備】登録!AL56</f>
        <v>河地恵里</v>
      </c>
      <c r="J12" s="147" t="str">
        <f>【準備】登録!AN56</f>
        <v>HRC</v>
      </c>
      <c r="L12" s="236" t="str">
        <f t="shared" si="0"/>
        <v>NRC</v>
      </c>
      <c r="M12" s="236" t="str">
        <f t="shared" si="0"/>
        <v>宮野早織</v>
      </c>
      <c r="P12" s="312">
        <f t="shared" si="1"/>
        <v>6</v>
      </c>
      <c r="Q12" s="312" t="str">
        <f>D12&amp;【準備】登録!AE56&amp;J12</f>
        <v>大橋洋子1HRC</v>
      </c>
      <c r="R12" s="312" t="str">
        <f t="shared" si="2"/>
        <v>w</v>
      </c>
      <c r="S12" s="312" t="str">
        <f t="shared" si="3"/>
        <v/>
      </c>
      <c r="T12" s="312">
        <f t="shared" si="4"/>
        <v>139</v>
      </c>
      <c r="U12" s="312">
        <f>【準備】登録!AM56</f>
        <v>140</v>
      </c>
      <c r="V12" s="312">
        <f>【準備】登録!AJ56</f>
        <v>140</v>
      </c>
    </row>
    <row r="13" spans="1:22" ht="18" customHeight="1">
      <c r="A13" s="9" t="str">
        <f>"第"&amp;【準備】登録!AE57&amp;"節"</f>
        <v>第1節</v>
      </c>
      <c r="B13" s="132">
        <f>【準備】登録!AF57</f>
        <v>7</v>
      </c>
      <c r="C13" s="133" t="str">
        <f>【準備】登録!AI57</f>
        <v>NRC</v>
      </c>
      <c r="D13" s="269" t="str">
        <f>【準備】登録!AK57</f>
        <v>吉向翔平</v>
      </c>
      <c r="E13" s="134">
        <v>120</v>
      </c>
      <c r="F13" s="260" t="s">
        <v>369</v>
      </c>
      <c r="G13" s="259">
        <v>111</v>
      </c>
      <c r="H13" s="134"/>
      <c r="I13" s="272" t="str">
        <f>【準備】登録!AL57</f>
        <v>宮本一</v>
      </c>
      <c r="J13" s="147" t="str">
        <f>【準備】登録!AN57</f>
        <v>HRC</v>
      </c>
      <c r="L13" s="236" t="str">
        <f t="shared" ref="L13:M18" si="5">C7</f>
        <v>SBC</v>
      </c>
      <c r="M13" s="236" t="str">
        <f t="shared" si="5"/>
        <v>大橋正寛</v>
      </c>
      <c r="P13" s="312">
        <f t="shared" si="1"/>
        <v>7</v>
      </c>
      <c r="Q13" s="312" t="str">
        <f>D13&amp;【準備】登録!AE57&amp;J13</f>
        <v>吉向翔平1HRC</v>
      </c>
      <c r="R13" s="312" t="str">
        <f t="shared" si="2"/>
        <v>w</v>
      </c>
      <c r="S13" s="312">
        <f t="shared" si="3"/>
        <v>120</v>
      </c>
      <c r="T13" s="312">
        <f t="shared" si="4"/>
        <v>111</v>
      </c>
      <c r="U13" s="312">
        <f>【準備】登録!AM57</f>
        <v>180</v>
      </c>
      <c r="V13" s="312">
        <f>【準備】登録!AJ57</f>
        <v>180</v>
      </c>
    </row>
    <row r="14" spans="1:22" ht="18" customHeight="1">
      <c r="A14" s="9" t="str">
        <f>"第"&amp;【準備】登録!AE58&amp;"節"</f>
        <v>第1節</v>
      </c>
      <c r="B14" s="132">
        <f>【準備】登録!AF58</f>
        <v>8</v>
      </c>
      <c r="C14" s="133" t="str">
        <f>【準備】登録!AI58</f>
        <v>NRC</v>
      </c>
      <c r="D14" s="303" t="str">
        <f>【準備】登録!AK58</f>
        <v>岩本剛</v>
      </c>
      <c r="E14" s="134"/>
      <c r="F14" s="141">
        <v>172</v>
      </c>
      <c r="G14" s="259" t="s">
        <v>369</v>
      </c>
      <c r="H14" s="134"/>
      <c r="I14" s="304" t="str">
        <f>【準備】登録!AL58</f>
        <v>堂園雅也</v>
      </c>
      <c r="J14" s="305" t="str">
        <f>【準備】登録!AN58</f>
        <v>HRC</v>
      </c>
      <c r="L14" s="236" t="str">
        <f t="shared" si="5"/>
        <v>SBC</v>
      </c>
      <c r="M14" s="236" t="str">
        <f t="shared" si="5"/>
        <v>長田智紀</v>
      </c>
      <c r="P14" s="312">
        <f t="shared" si="1"/>
        <v>8</v>
      </c>
      <c r="Q14" s="312" t="str">
        <f>D14&amp;【準備】登録!AE58&amp;J14</f>
        <v>岩本剛1HRC</v>
      </c>
      <c r="R14" s="312">
        <f t="shared" si="2"/>
        <v>172</v>
      </c>
      <c r="S14" s="312" t="str">
        <f t="shared" si="3"/>
        <v/>
      </c>
      <c r="T14" s="312" t="str">
        <f t="shared" si="4"/>
        <v>w</v>
      </c>
      <c r="U14" s="312">
        <f>【準備】登録!AM58</f>
        <v>180</v>
      </c>
      <c r="V14" s="312">
        <f>【準備】登録!AJ58</f>
        <v>180</v>
      </c>
    </row>
    <row r="15" spans="1:22" ht="18" customHeight="1">
      <c r="A15" s="9" t="str">
        <f>"第"&amp;【準備】登録!AE59&amp;"節"</f>
        <v>第1節</v>
      </c>
      <c r="B15" s="132">
        <f>【準備】登録!AF59</f>
        <v>9</v>
      </c>
      <c r="C15" s="133" t="str">
        <f>【準備】登録!AI59</f>
        <v>NRC</v>
      </c>
      <c r="D15" s="269" t="str">
        <f>【準備】登録!AK59</f>
        <v>長谷川進</v>
      </c>
      <c r="E15" s="134"/>
      <c r="F15" s="260">
        <v>49</v>
      </c>
      <c r="G15" s="259" t="s">
        <v>369</v>
      </c>
      <c r="H15" s="134"/>
      <c r="I15" s="272" t="str">
        <f>【準備】登録!AL59</f>
        <v>平井洸志</v>
      </c>
      <c r="J15" s="147" t="str">
        <f>【準備】登録!AN59</f>
        <v>HRC</v>
      </c>
      <c r="K15" s="263"/>
      <c r="L15" s="236" t="str">
        <f t="shared" si="5"/>
        <v>SBC</v>
      </c>
      <c r="M15" s="236" t="str">
        <f t="shared" si="5"/>
        <v>西峰久祐</v>
      </c>
      <c r="P15" s="312">
        <f t="shared" si="1"/>
        <v>9</v>
      </c>
      <c r="Q15" s="312" t="str">
        <f>D15&amp;【準備】登録!AE59&amp;J15</f>
        <v>長谷川進1HRC</v>
      </c>
      <c r="R15" s="312">
        <f t="shared" si="2"/>
        <v>49</v>
      </c>
      <c r="S15" s="312" t="str">
        <f t="shared" si="3"/>
        <v/>
      </c>
      <c r="T15" s="312" t="str">
        <f t="shared" si="4"/>
        <v>w</v>
      </c>
      <c r="U15" s="312">
        <f>【準備】登録!AM59</f>
        <v>180</v>
      </c>
      <c r="V15" s="312">
        <f>【準備】登録!AJ59</f>
        <v>180</v>
      </c>
    </row>
    <row r="16" spans="1:22" ht="18" customHeight="1">
      <c r="A16" s="9" t="str">
        <f>"第"&amp;【準備】登録!AE60&amp;"節"</f>
        <v>第1節</v>
      </c>
      <c r="B16" s="132">
        <f>【準備】登録!AF60</f>
        <v>10</v>
      </c>
      <c r="C16" s="133" t="str">
        <f>【準備】登録!AI60</f>
        <v>NRC</v>
      </c>
      <c r="D16" s="269" t="str">
        <f>【準備】登録!AK60</f>
        <v>井本高史</v>
      </c>
      <c r="E16" s="134"/>
      <c r="F16" s="260" t="s">
        <v>369</v>
      </c>
      <c r="G16" s="259">
        <v>147</v>
      </c>
      <c r="H16" s="134"/>
      <c r="I16" s="272" t="str">
        <f>【準備】登録!AL60</f>
        <v>宮井健太郎</v>
      </c>
      <c r="J16" s="147" t="str">
        <f>【準備】登録!AN60</f>
        <v>HRC</v>
      </c>
      <c r="K16" s="263"/>
      <c r="L16" s="236" t="str">
        <f t="shared" si="5"/>
        <v>SBC</v>
      </c>
      <c r="M16" s="236" t="str">
        <f t="shared" si="5"/>
        <v>大橋義治</v>
      </c>
      <c r="P16" s="312">
        <f t="shared" si="1"/>
        <v>10</v>
      </c>
      <c r="Q16" s="312" t="str">
        <f>D16&amp;【準備】登録!AE60&amp;J16</f>
        <v>井本高史1HRC</v>
      </c>
      <c r="R16" s="312" t="str">
        <f t="shared" si="2"/>
        <v>w</v>
      </c>
      <c r="S16" s="312" t="str">
        <f t="shared" si="3"/>
        <v/>
      </c>
      <c r="T16" s="312">
        <f t="shared" si="4"/>
        <v>147</v>
      </c>
      <c r="U16" s="312">
        <f>【準備】登録!AM60</f>
        <v>180</v>
      </c>
      <c r="V16" s="312">
        <f>【準備】登録!AJ60</f>
        <v>180</v>
      </c>
    </row>
    <row r="17" spans="1:22" ht="18" customHeight="1">
      <c r="A17" s="9" t="str">
        <f>"第"&amp;【準備】登録!AE61&amp;"節"</f>
        <v>第1節</v>
      </c>
      <c r="B17" s="132">
        <f>【準備】登録!AF61</f>
        <v>11</v>
      </c>
      <c r="C17" s="133" t="str">
        <f>【準備】登録!AI61</f>
        <v>NRC</v>
      </c>
      <c r="D17" s="269" t="str">
        <f>【準備】登録!AK61</f>
        <v>金澤茂昌</v>
      </c>
      <c r="E17" s="134"/>
      <c r="F17" s="260" t="s">
        <v>369</v>
      </c>
      <c r="G17" s="259">
        <v>129</v>
      </c>
      <c r="H17" s="134"/>
      <c r="I17" s="272" t="str">
        <f>【準備】登録!AL61</f>
        <v>金井健太郎</v>
      </c>
      <c r="J17" s="147" t="str">
        <f>【準備】登録!AN61</f>
        <v>HRC</v>
      </c>
      <c r="K17" s="263"/>
      <c r="L17" s="236" t="str">
        <f t="shared" si="5"/>
        <v>SBC</v>
      </c>
      <c r="M17" s="236" t="str">
        <f t="shared" si="5"/>
        <v>山中康寛</v>
      </c>
      <c r="P17" s="312">
        <f t="shared" si="1"/>
        <v>11</v>
      </c>
      <c r="Q17" s="312" t="str">
        <f>D17&amp;【準備】登録!AE61&amp;J17</f>
        <v>金澤茂昌1HRC</v>
      </c>
      <c r="R17" s="312" t="str">
        <f t="shared" si="2"/>
        <v>w</v>
      </c>
      <c r="S17" s="312" t="str">
        <f t="shared" si="3"/>
        <v/>
      </c>
      <c r="T17" s="312">
        <f t="shared" si="4"/>
        <v>129</v>
      </c>
      <c r="U17" s="312">
        <f>【準備】登録!AM61</f>
        <v>180</v>
      </c>
      <c r="V17" s="312">
        <f>【準備】登録!AJ61</f>
        <v>180</v>
      </c>
    </row>
    <row r="18" spans="1:22" ht="18" customHeight="1">
      <c r="A18" s="9" t="str">
        <f>"第"&amp;【準備】登録!AE62&amp;"節"</f>
        <v>第1節</v>
      </c>
      <c r="B18" s="132">
        <f>【準備】登録!AF62</f>
        <v>12</v>
      </c>
      <c r="C18" s="133" t="str">
        <f>【準備】登録!AI62</f>
        <v>NRC</v>
      </c>
      <c r="D18" s="269" t="str">
        <f>【準備】登録!AK62</f>
        <v>宮野早織</v>
      </c>
      <c r="E18" s="134"/>
      <c r="F18" s="260">
        <v>100</v>
      </c>
      <c r="G18" s="259" t="s">
        <v>369</v>
      </c>
      <c r="H18" s="134"/>
      <c r="I18" s="272" t="str">
        <f>【準備】登録!AL62</f>
        <v>河地恵里</v>
      </c>
      <c r="J18" s="147" t="str">
        <f>【準備】登録!AN62</f>
        <v>HRC</v>
      </c>
      <c r="L18" s="236" t="str">
        <f t="shared" si="5"/>
        <v>SBC</v>
      </c>
      <c r="M18" s="236" t="str">
        <f t="shared" si="5"/>
        <v>大橋洋子</v>
      </c>
      <c r="P18" s="312">
        <f t="shared" si="1"/>
        <v>12</v>
      </c>
      <c r="Q18" s="312" t="str">
        <f>D18&amp;【準備】登録!AE62&amp;J18</f>
        <v>宮野早織1HRC</v>
      </c>
      <c r="R18" s="312">
        <f t="shared" si="2"/>
        <v>100</v>
      </c>
      <c r="S18" s="312" t="str">
        <f t="shared" si="3"/>
        <v/>
      </c>
      <c r="T18" s="312" t="str">
        <f t="shared" si="4"/>
        <v>w</v>
      </c>
      <c r="U18" s="312">
        <f>【準備】登録!AM62</f>
        <v>140</v>
      </c>
      <c r="V18" s="312">
        <f>【準備】登録!AJ62</f>
        <v>140</v>
      </c>
    </row>
    <row r="19" spans="1:22" ht="18" customHeight="1">
      <c r="A19" s="9" t="str">
        <f>"第"&amp;【準備】登録!AE63&amp;"節"</f>
        <v>第1節</v>
      </c>
      <c r="B19" s="132">
        <f>【準備】登録!AF63</f>
        <v>13</v>
      </c>
      <c r="C19" s="133" t="str">
        <f>【準備】登録!AI63</f>
        <v>NRC</v>
      </c>
      <c r="D19" s="269" t="str">
        <f>【準備】登録!AK63</f>
        <v>吉向翔平</v>
      </c>
      <c r="E19" s="134"/>
      <c r="F19" s="141">
        <v>140</v>
      </c>
      <c r="G19" s="259" t="s">
        <v>369</v>
      </c>
      <c r="H19" s="134"/>
      <c r="I19" s="272" t="str">
        <f>【準備】登録!AL63</f>
        <v>大橋正寛</v>
      </c>
      <c r="J19" s="147" t="str">
        <f>【準備】登録!AN63</f>
        <v>SBC</v>
      </c>
      <c r="K19" s="263"/>
      <c r="L19" s="236" t="str">
        <f t="shared" ref="L19:L24" si="6">J7</f>
        <v>HRC</v>
      </c>
      <c r="M19" s="236" t="str">
        <f t="shared" ref="M19:M24" si="7">I7</f>
        <v>宮本一</v>
      </c>
      <c r="P19" s="312">
        <f t="shared" si="1"/>
        <v>13</v>
      </c>
      <c r="Q19" s="312" t="str">
        <f>D19&amp;【準備】登録!AE63&amp;J19</f>
        <v>吉向翔平1SBC</v>
      </c>
      <c r="R19" s="312">
        <f t="shared" si="2"/>
        <v>140</v>
      </c>
      <c r="S19" s="312" t="str">
        <f t="shared" si="3"/>
        <v/>
      </c>
      <c r="T19" s="312" t="str">
        <f t="shared" si="4"/>
        <v>w</v>
      </c>
      <c r="U19" s="312">
        <f>【準備】登録!AM63</f>
        <v>180</v>
      </c>
      <c r="V19" s="312">
        <f>【準備】登録!AJ63</f>
        <v>180</v>
      </c>
    </row>
    <row r="20" spans="1:22" ht="18" customHeight="1">
      <c r="A20" s="9" t="str">
        <f>"第"&amp;【準備】登録!AE64&amp;"節"</f>
        <v>第1節</v>
      </c>
      <c r="B20" s="132">
        <f>【準備】登録!AF64</f>
        <v>14</v>
      </c>
      <c r="C20" s="133" t="str">
        <f>【準備】登録!AI64</f>
        <v>NRC</v>
      </c>
      <c r="D20" s="269" t="str">
        <f>【準備】登録!AK64</f>
        <v>岩本剛</v>
      </c>
      <c r="E20" s="134"/>
      <c r="F20" s="260" t="s">
        <v>369</v>
      </c>
      <c r="G20" s="259">
        <v>130</v>
      </c>
      <c r="H20" s="134"/>
      <c r="I20" s="272" t="str">
        <f>【準備】登録!AL64</f>
        <v>長田智紀</v>
      </c>
      <c r="J20" s="147" t="str">
        <f>【準備】登録!AN64</f>
        <v>SBC</v>
      </c>
      <c r="L20" s="236" t="str">
        <f t="shared" si="6"/>
        <v>HRC</v>
      </c>
      <c r="M20" s="236" t="str">
        <f t="shared" si="7"/>
        <v>堂園雅也</v>
      </c>
      <c r="P20" s="312">
        <f t="shared" si="1"/>
        <v>14</v>
      </c>
      <c r="Q20" s="312" t="str">
        <f>D20&amp;【準備】登録!AE64&amp;J20</f>
        <v>岩本剛1SBC</v>
      </c>
      <c r="R20" s="312" t="str">
        <f t="shared" si="2"/>
        <v>w</v>
      </c>
      <c r="S20" s="312" t="str">
        <f t="shared" si="3"/>
        <v/>
      </c>
      <c r="T20" s="312">
        <f t="shared" si="4"/>
        <v>130</v>
      </c>
      <c r="U20" s="312">
        <f>【準備】登録!AM64</f>
        <v>180</v>
      </c>
      <c r="V20" s="312">
        <f>【準備】登録!AJ64</f>
        <v>180</v>
      </c>
    </row>
    <row r="21" spans="1:22" ht="18" customHeight="1">
      <c r="A21" s="9" t="str">
        <f>"第"&amp;【準備】登録!AE65&amp;"節"</f>
        <v>第1節</v>
      </c>
      <c r="B21" s="132">
        <f>【準備】登録!AF65</f>
        <v>15</v>
      </c>
      <c r="C21" s="133" t="str">
        <f>【準備】登録!AI65</f>
        <v>NRC</v>
      </c>
      <c r="D21" s="269" t="str">
        <f>【準備】登録!AK65</f>
        <v>長谷川進</v>
      </c>
      <c r="E21" s="134"/>
      <c r="F21" s="260">
        <v>43</v>
      </c>
      <c r="G21" s="259" t="s">
        <v>369</v>
      </c>
      <c r="H21" s="134"/>
      <c r="I21" s="272" t="str">
        <f>【準備】登録!AL65</f>
        <v>西峰久祐</v>
      </c>
      <c r="J21" s="147" t="str">
        <f>【準備】登録!AN65</f>
        <v>SBC</v>
      </c>
      <c r="L21" s="236" t="str">
        <f t="shared" si="6"/>
        <v>HRC</v>
      </c>
      <c r="M21" s="236" t="str">
        <f t="shared" si="7"/>
        <v>平井洸志</v>
      </c>
      <c r="P21" s="312">
        <f t="shared" si="1"/>
        <v>15</v>
      </c>
      <c r="Q21" s="312" t="str">
        <f>D21&amp;【準備】登録!AE65&amp;J21</f>
        <v>長谷川進1SBC</v>
      </c>
      <c r="R21" s="312">
        <f t="shared" si="2"/>
        <v>43</v>
      </c>
      <c r="S21" s="312" t="str">
        <f t="shared" si="3"/>
        <v/>
      </c>
      <c r="T21" s="312" t="str">
        <f t="shared" si="4"/>
        <v>w</v>
      </c>
      <c r="U21" s="312">
        <f>【準備】登録!AM65</f>
        <v>180</v>
      </c>
      <c r="V21" s="312">
        <f>【準備】登録!AJ65</f>
        <v>180</v>
      </c>
    </row>
    <row r="22" spans="1:22" ht="18" customHeight="1">
      <c r="A22" s="9" t="str">
        <f>"第"&amp;【準備】登録!AE66&amp;"節"</f>
        <v>第1節</v>
      </c>
      <c r="B22" s="132">
        <f>【準備】登録!AF66</f>
        <v>16</v>
      </c>
      <c r="C22" s="133" t="str">
        <f>【準備】登録!AI66</f>
        <v>NRC</v>
      </c>
      <c r="D22" s="303" t="str">
        <f>【準備】登録!AK66</f>
        <v>井本高史</v>
      </c>
      <c r="E22" s="134"/>
      <c r="F22" s="141">
        <v>120</v>
      </c>
      <c r="G22" s="259" t="s">
        <v>369</v>
      </c>
      <c r="H22" s="134"/>
      <c r="I22" s="304" t="str">
        <f>【準備】登録!AL66</f>
        <v>大橋義治</v>
      </c>
      <c r="J22" s="147" t="str">
        <f>【準備】登録!AN66</f>
        <v>SBC</v>
      </c>
      <c r="L22" s="236" t="str">
        <f t="shared" si="6"/>
        <v>HRC</v>
      </c>
      <c r="M22" s="236" t="str">
        <f t="shared" si="7"/>
        <v>宮井健太郎</v>
      </c>
      <c r="P22" s="312">
        <f t="shared" si="1"/>
        <v>16</v>
      </c>
      <c r="Q22" s="312" t="str">
        <f>D22&amp;【準備】登録!AE66&amp;J22</f>
        <v>井本高史1SBC</v>
      </c>
      <c r="R22" s="312">
        <f t="shared" si="2"/>
        <v>120</v>
      </c>
      <c r="S22" s="312" t="str">
        <f t="shared" si="3"/>
        <v/>
      </c>
      <c r="T22" s="312" t="str">
        <f t="shared" si="4"/>
        <v>w</v>
      </c>
      <c r="U22" s="312">
        <f>【準備】登録!AM66</f>
        <v>180</v>
      </c>
      <c r="V22" s="312">
        <f>【準備】登録!AJ66</f>
        <v>180</v>
      </c>
    </row>
    <row r="23" spans="1:22" ht="18" customHeight="1">
      <c r="A23" s="9" t="str">
        <f>"第"&amp;【準備】登録!AE67&amp;"節"</f>
        <v>第1節</v>
      </c>
      <c r="B23" s="132">
        <f>【準備】登録!AF67</f>
        <v>17</v>
      </c>
      <c r="C23" s="133" t="str">
        <f>【準備】登録!AI67</f>
        <v>NRC</v>
      </c>
      <c r="D23" s="269" t="str">
        <f>【準備】登録!AK67</f>
        <v>金澤茂昌</v>
      </c>
      <c r="E23" s="134">
        <v>114</v>
      </c>
      <c r="F23" s="260" t="s">
        <v>369</v>
      </c>
      <c r="G23" s="135">
        <v>159</v>
      </c>
      <c r="H23" s="134"/>
      <c r="I23" s="272" t="str">
        <f>【準備】登録!AL67</f>
        <v>山中康寛</v>
      </c>
      <c r="J23" s="147" t="str">
        <f>【準備】登録!AN67</f>
        <v>SBC</v>
      </c>
      <c r="K23" s="263"/>
      <c r="L23" s="236" t="str">
        <f t="shared" si="6"/>
        <v>HRC</v>
      </c>
      <c r="M23" s="236" t="str">
        <f t="shared" si="7"/>
        <v>金井健太郎</v>
      </c>
      <c r="P23" s="312">
        <f t="shared" si="1"/>
        <v>17</v>
      </c>
      <c r="Q23" s="312" t="str">
        <f>D23&amp;【準備】登録!AE67&amp;J23</f>
        <v>金澤茂昌1SBC</v>
      </c>
      <c r="R23" s="312" t="str">
        <f t="shared" si="2"/>
        <v>w</v>
      </c>
      <c r="S23" s="312">
        <f t="shared" si="3"/>
        <v>114</v>
      </c>
      <c r="T23" s="312">
        <f t="shared" si="4"/>
        <v>159</v>
      </c>
      <c r="U23" s="312">
        <f>【準備】登録!AM67</f>
        <v>180</v>
      </c>
      <c r="V23" s="312">
        <f>【準備】登録!AJ67</f>
        <v>180</v>
      </c>
    </row>
    <row r="24" spans="1:22" ht="18" customHeight="1">
      <c r="A24" s="9" t="str">
        <f>"第"&amp;【準備】登録!AE68&amp;"節"</f>
        <v>第1節</v>
      </c>
      <c r="B24" s="132">
        <f>【準備】登録!AF68</f>
        <v>18</v>
      </c>
      <c r="C24" s="133" t="str">
        <f>【準備】登録!AI68</f>
        <v>NRC</v>
      </c>
      <c r="D24" s="269" t="str">
        <f>【準備】登録!AK68</f>
        <v>宮野早織</v>
      </c>
      <c r="E24" s="134"/>
      <c r="F24" s="260">
        <v>59</v>
      </c>
      <c r="G24" s="259" t="s">
        <v>369</v>
      </c>
      <c r="H24" s="134"/>
      <c r="I24" s="272" t="str">
        <f>【準備】登録!AL68</f>
        <v>大橋洋子</v>
      </c>
      <c r="J24" s="147" t="str">
        <f>【準備】登録!AN68</f>
        <v>SBC</v>
      </c>
      <c r="L24" s="236" t="str">
        <f t="shared" si="6"/>
        <v>HRC</v>
      </c>
      <c r="M24" s="236" t="str">
        <f t="shared" si="7"/>
        <v>河地恵里</v>
      </c>
      <c r="P24" s="312">
        <f t="shared" si="1"/>
        <v>18</v>
      </c>
      <c r="Q24" s="312" t="str">
        <f>D24&amp;【準備】登録!AE68&amp;J24</f>
        <v>宮野早織1SBC</v>
      </c>
      <c r="R24" s="312">
        <f t="shared" si="2"/>
        <v>59</v>
      </c>
      <c r="S24" s="312" t="str">
        <f t="shared" si="3"/>
        <v/>
      </c>
      <c r="T24" s="312" t="str">
        <f t="shared" si="4"/>
        <v>w</v>
      </c>
      <c r="U24" s="312">
        <f>【準備】登録!AM68</f>
        <v>140</v>
      </c>
      <c r="V24" s="312">
        <f>【準備】登録!AJ68</f>
        <v>140</v>
      </c>
    </row>
    <row r="25" spans="1:22" ht="18" customHeight="1">
      <c r="A25" s="9" t="str">
        <f>"第"&amp;【準備】登録!AE69&amp;"節"</f>
        <v>第2節</v>
      </c>
      <c r="B25" s="132">
        <f>【準備】登録!AF69</f>
        <v>19</v>
      </c>
      <c r="C25" s="133" t="str">
        <f>【準備】登録!AI69</f>
        <v>SBC</v>
      </c>
      <c r="D25" s="269" t="str">
        <f>【準備】登録!AK69</f>
        <v>長田智紀</v>
      </c>
      <c r="E25" s="134"/>
      <c r="F25" s="260" t="s">
        <v>369</v>
      </c>
      <c r="G25" s="259">
        <v>75</v>
      </c>
      <c r="H25" s="134"/>
      <c r="I25" s="272" t="str">
        <f>【準備】登録!AL69</f>
        <v>平井洸志</v>
      </c>
      <c r="J25" s="147" t="str">
        <f>【準備】登録!AN69</f>
        <v>HRC</v>
      </c>
      <c r="K25" s="263"/>
      <c r="L25" s="236" t="str">
        <f t="shared" ref="L25:M30" si="8">C31</f>
        <v>NRC</v>
      </c>
      <c r="M25" s="236" t="str">
        <f t="shared" si="8"/>
        <v>吉向翔平</v>
      </c>
      <c r="P25" s="312">
        <f t="shared" si="1"/>
        <v>19</v>
      </c>
      <c r="Q25" s="312" t="str">
        <f>D25&amp;【準備】登録!AE69&amp;J25</f>
        <v>長田智紀2HRC</v>
      </c>
      <c r="R25" s="312" t="str">
        <f t="shared" si="2"/>
        <v>w</v>
      </c>
      <c r="S25" s="312" t="str">
        <f t="shared" si="3"/>
        <v/>
      </c>
      <c r="T25" s="312">
        <f t="shared" si="4"/>
        <v>75</v>
      </c>
      <c r="U25" s="312">
        <f>【準備】登録!AM69</f>
        <v>180</v>
      </c>
      <c r="V25" s="312">
        <f>【準備】登録!AJ69</f>
        <v>180</v>
      </c>
    </row>
    <row r="26" spans="1:22" ht="18" customHeight="1">
      <c r="A26" s="9" t="str">
        <f>"第"&amp;【準備】登録!AE70&amp;"節"</f>
        <v>第2節</v>
      </c>
      <c r="B26" s="132">
        <f>【準備】登録!AF70</f>
        <v>20</v>
      </c>
      <c r="C26" s="133" t="str">
        <f>【準備】登録!AI70</f>
        <v>SBC</v>
      </c>
      <c r="D26" s="269" t="str">
        <f>【準備】登録!AK70</f>
        <v>西峰久祐</v>
      </c>
      <c r="E26" s="134"/>
      <c r="F26" s="260" t="s">
        <v>369</v>
      </c>
      <c r="G26" s="259">
        <v>77</v>
      </c>
      <c r="H26" s="134"/>
      <c r="I26" s="272" t="str">
        <f>【準備】登録!AL70</f>
        <v>宮井健太郎</v>
      </c>
      <c r="J26" s="147" t="str">
        <f>【準備】登録!AN70</f>
        <v>HRC</v>
      </c>
      <c r="L26" s="236" t="str">
        <f t="shared" si="8"/>
        <v>NRC</v>
      </c>
      <c r="M26" s="236" t="str">
        <f t="shared" si="8"/>
        <v>岩本剛</v>
      </c>
      <c r="P26" s="312">
        <f t="shared" si="1"/>
        <v>20</v>
      </c>
      <c r="Q26" s="312" t="str">
        <f>D26&amp;【準備】登録!AE70&amp;J26</f>
        <v>西峰久祐2HRC</v>
      </c>
      <c r="R26" s="312" t="str">
        <f t="shared" si="2"/>
        <v>w</v>
      </c>
      <c r="S26" s="312" t="str">
        <f t="shared" si="3"/>
        <v/>
      </c>
      <c r="T26" s="312">
        <f t="shared" si="4"/>
        <v>77</v>
      </c>
      <c r="U26" s="312">
        <f>【準備】登録!AM70</f>
        <v>180</v>
      </c>
      <c r="V26" s="312">
        <f>【準備】登録!AJ70</f>
        <v>180</v>
      </c>
    </row>
    <row r="27" spans="1:22" ht="18" customHeight="1">
      <c r="A27" s="9" t="str">
        <f>"第"&amp;【準備】登録!AE71&amp;"節"</f>
        <v>第2節</v>
      </c>
      <c r="B27" s="132">
        <f>【準備】登録!AF71</f>
        <v>21</v>
      </c>
      <c r="C27" s="133" t="str">
        <f>【準備】登録!AI71</f>
        <v>SBC</v>
      </c>
      <c r="D27" s="269" t="str">
        <f>【準備】登録!AK71</f>
        <v>大橋義治</v>
      </c>
      <c r="E27" s="134"/>
      <c r="F27" s="260">
        <v>51</v>
      </c>
      <c r="G27" s="259" t="s">
        <v>369</v>
      </c>
      <c r="H27" s="134"/>
      <c r="I27" s="272" t="str">
        <f>【準備】登録!AL71</f>
        <v>金井健太郎</v>
      </c>
      <c r="J27" s="147" t="str">
        <f>【準備】登録!AN71</f>
        <v>HRC</v>
      </c>
      <c r="K27" s="263"/>
      <c r="L27" s="236" t="str">
        <f t="shared" si="8"/>
        <v>NRC</v>
      </c>
      <c r="M27" s="236" t="str">
        <f t="shared" si="8"/>
        <v>長谷川進</v>
      </c>
      <c r="P27" s="312">
        <f t="shared" si="1"/>
        <v>21</v>
      </c>
      <c r="Q27" s="312" t="str">
        <f>D27&amp;【準備】登録!AE71&amp;J27</f>
        <v>大橋義治2HRC</v>
      </c>
      <c r="R27" s="312">
        <f t="shared" si="2"/>
        <v>51</v>
      </c>
      <c r="S27" s="312" t="str">
        <f t="shared" si="3"/>
        <v/>
      </c>
      <c r="T27" s="312" t="str">
        <f t="shared" si="4"/>
        <v>w</v>
      </c>
      <c r="U27" s="312">
        <f>【準備】登録!AM71</f>
        <v>180</v>
      </c>
      <c r="V27" s="312">
        <f>【準備】登録!AJ71</f>
        <v>180</v>
      </c>
    </row>
    <row r="28" spans="1:22" ht="18" customHeight="1">
      <c r="A28" s="9" t="str">
        <f>"第"&amp;【準備】登録!AE72&amp;"節"</f>
        <v>第2節</v>
      </c>
      <c r="B28" s="132">
        <f>【準備】登録!AF72</f>
        <v>22</v>
      </c>
      <c r="C28" s="133" t="str">
        <f>【準備】登録!AI72</f>
        <v>SBC</v>
      </c>
      <c r="D28" s="269" t="str">
        <f>【準備】登録!AK72</f>
        <v>山中康寛</v>
      </c>
      <c r="E28" s="134"/>
      <c r="F28" s="260" t="s">
        <v>369</v>
      </c>
      <c r="G28" s="259">
        <v>52</v>
      </c>
      <c r="H28" s="134"/>
      <c r="I28" s="272" t="str">
        <f>【準備】登録!AL72</f>
        <v>河地恵里</v>
      </c>
      <c r="J28" s="147" t="str">
        <f>【準備】登録!AN72</f>
        <v>HRC</v>
      </c>
      <c r="L28" s="236" t="str">
        <f t="shared" si="8"/>
        <v>NRC</v>
      </c>
      <c r="M28" s="236" t="str">
        <f t="shared" si="8"/>
        <v>井本高史</v>
      </c>
      <c r="P28" s="312">
        <f t="shared" si="1"/>
        <v>22</v>
      </c>
      <c r="Q28" s="312" t="str">
        <f>D28&amp;【準備】登録!AE72&amp;J28</f>
        <v>山中康寛2HRC</v>
      </c>
      <c r="R28" s="312" t="str">
        <f t="shared" si="2"/>
        <v>w</v>
      </c>
      <c r="S28" s="312" t="str">
        <f t="shared" si="3"/>
        <v/>
      </c>
      <c r="T28" s="312">
        <f t="shared" si="4"/>
        <v>52</v>
      </c>
      <c r="U28" s="312">
        <f>【準備】登録!AM72</f>
        <v>140</v>
      </c>
      <c r="V28" s="312">
        <f>【準備】登録!AJ72</f>
        <v>180</v>
      </c>
    </row>
    <row r="29" spans="1:22" ht="18" customHeight="1">
      <c r="A29" s="9" t="str">
        <f>"第"&amp;【準備】登録!AE73&amp;"節"</f>
        <v>第2節</v>
      </c>
      <c r="B29" s="132">
        <f>【準備】登録!AF73</f>
        <v>23</v>
      </c>
      <c r="C29" s="133" t="str">
        <f>【準備】登録!AI73</f>
        <v>SBC</v>
      </c>
      <c r="D29" s="269" t="str">
        <f>【準備】登録!AK73</f>
        <v>大橋洋子</v>
      </c>
      <c r="E29" s="134"/>
      <c r="F29" s="260">
        <v>11</v>
      </c>
      <c r="G29" s="259" t="s">
        <v>369</v>
      </c>
      <c r="H29" s="134"/>
      <c r="I29" s="272" t="str">
        <f>【準備】登録!AL73</f>
        <v>宮本一</v>
      </c>
      <c r="J29" s="147" t="str">
        <f>【準備】登録!AN73</f>
        <v>HRC</v>
      </c>
      <c r="K29" s="263"/>
      <c r="L29" s="236" t="str">
        <f t="shared" si="8"/>
        <v>NRC</v>
      </c>
      <c r="M29" s="236" t="str">
        <f t="shared" si="8"/>
        <v>金澤茂昌</v>
      </c>
      <c r="P29" s="312">
        <f t="shared" si="1"/>
        <v>23</v>
      </c>
      <c r="Q29" s="312" t="str">
        <f>D29&amp;【準備】登録!AE73&amp;J29</f>
        <v>大橋洋子2HRC</v>
      </c>
      <c r="R29" s="312">
        <f t="shared" si="2"/>
        <v>11</v>
      </c>
      <c r="S29" s="312" t="str">
        <f t="shared" si="3"/>
        <v/>
      </c>
      <c r="T29" s="312" t="str">
        <f t="shared" si="4"/>
        <v>w</v>
      </c>
      <c r="U29" s="312">
        <f>【準備】登録!AM73</f>
        <v>180</v>
      </c>
      <c r="V29" s="312">
        <f>【準備】登録!AJ73</f>
        <v>140</v>
      </c>
    </row>
    <row r="30" spans="1:22" ht="18" customHeight="1">
      <c r="A30" s="9" t="str">
        <f>"第"&amp;【準備】登録!AE74&amp;"節"</f>
        <v>第2節</v>
      </c>
      <c r="B30" s="132">
        <f>【準備】登録!AF74</f>
        <v>24</v>
      </c>
      <c r="C30" s="133" t="str">
        <f>【準備】登録!AI74</f>
        <v>SBC</v>
      </c>
      <c r="D30" s="303" t="str">
        <f>【準備】登録!AK74</f>
        <v>大橋正寛</v>
      </c>
      <c r="E30" s="134">
        <v>107</v>
      </c>
      <c r="F30" s="260" t="s">
        <v>369</v>
      </c>
      <c r="G30" s="135">
        <v>140</v>
      </c>
      <c r="H30" s="134"/>
      <c r="I30" s="304" t="str">
        <f>【準備】登録!AL74</f>
        <v>堂園雅也</v>
      </c>
      <c r="J30" s="147" t="str">
        <f>【準備】登録!AN74</f>
        <v>HRC</v>
      </c>
      <c r="L30" s="236" t="str">
        <f t="shared" si="8"/>
        <v>NRC</v>
      </c>
      <c r="M30" s="236" t="str">
        <f t="shared" si="8"/>
        <v>宮野早織</v>
      </c>
      <c r="P30" s="312">
        <f t="shared" si="1"/>
        <v>24</v>
      </c>
      <c r="Q30" s="312" t="str">
        <f>D30&amp;【準備】登録!AE74&amp;J30</f>
        <v>大橋正寛2HRC</v>
      </c>
      <c r="R30" s="312" t="str">
        <f t="shared" si="2"/>
        <v>w</v>
      </c>
      <c r="S30" s="312">
        <f t="shared" si="3"/>
        <v>107</v>
      </c>
      <c r="T30" s="312">
        <f t="shared" si="4"/>
        <v>140</v>
      </c>
      <c r="U30" s="312">
        <f>【準備】登録!AM74</f>
        <v>180</v>
      </c>
      <c r="V30" s="312">
        <f>【準備】登録!AJ74</f>
        <v>180</v>
      </c>
    </row>
    <row r="31" spans="1:22" ht="18" customHeight="1">
      <c r="A31" s="9" t="str">
        <f>"第"&amp;【準備】登録!AE75&amp;"節"</f>
        <v>第2節</v>
      </c>
      <c r="B31" s="132">
        <f>【準備】登録!AF75</f>
        <v>25</v>
      </c>
      <c r="C31" s="133" t="str">
        <f>【準備】登録!AI75</f>
        <v>NRC</v>
      </c>
      <c r="D31" s="269" t="str">
        <f>【準備】登録!AK75</f>
        <v>吉向翔平</v>
      </c>
      <c r="E31" s="134"/>
      <c r="F31" s="260">
        <v>86</v>
      </c>
      <c r="G31" s="259" t="s">
        <v>369</v>
      </c>
      <c r="H31" s="134"/>
      <c r="I31" s="272" t="str">
        <f>【準備】登録!AL75</f>
        <v>平井洸志</v>
      </c>
      <c r="J31" s="147" t="str">
        <f>【準備】登録!AN75</f>
        <v>HRC</v>
      </c>
      <c r="K31" s="263"/>
      <c r="L31" s="236" t="str">
        <f t="shared" ref="L31:M36" si="9">C25</f>
        <v>SBC</v>
      </c>
      <c r="M31" s="236" t="str">
        <f t="shared" si="9"/>
        <v>長田智紀</v>
      </c>
      <c r="P31" s="312">
        <f t="shared" si="1"/>
        <v>25</v>
      </c>
      <c r="Q31" s="312" t="str">
        <f>D31&amp;【準備】登録!AE75&amp;J31</f>
        <v>吉向翔平2HRC</v>
      </c>
      <c r="R31" s="312">
        <f t="shared" si="2"/>
        <v>86</v>
      </c>
      <c r="S31" s="312" t="str">
        <f t="shared" si="3"/>
        <v/>
      </c>
      <c r="T31" s="312" t="str">
        <f t="shared" si="4"/>
        <v>w</v>
      </c>
      <c r="U31" s="312">
        <f>【準備】登録!AM75</f>
        <v>180</v>
      </c>
      <c r="V31" s="312">
        <f>【準備】登録!AJ75</f>
        <v>180</v>
      </c>
    </row>
    <row r="32" spans="1:22" ht="18" customHeight="1">
      <c r="A32" s="9" t="str">
        <f>"第"&amp;【準備】登録!AE76&amp;"節"</f>
        <v>第2節</v>
      </c>
      <c r="B32" s="132">
        <f>【準備】登録!AF76</f>
        <v>26</v>
      </c>
      <c r="C32" s="133" t="str">
        <f>【準備】登録!AI76</f>
        <v>NRC</v>
      </c>
      <c r="D32" s="269" t="str">
        <f>【準備】登録!AK76</f>
        <v>岩本剛</v>
      </c>
      <c r="E32" s="134"/>
      <c r="F32" s="260" t="s">
        <v>369</v>
      </c>
      <c r="G32" s="259">
        <v>156</v>
      </c>
      <c r="H32" s="134"/>
      <c r="I32" s="272" t="str">
        <f>【準備】登録!AL76</f>
        <v>宮井健太郎</v>
      </c>
      <c r="J32" s="147" t="str">
        <f>【準備】登録!AN76</f>
        <v>HRC</v>
      </c>
      <c r="K32" s="263"/>
      <c r="L32" s="236" t="str">
        <f t="shared" si="9"/>
        <v>SBC</v>
      </c>
      <c r="M32" s="236" t="str">
        <f t="shared" si="9"/>
        <v>西峰久祐</v>
      </c>
      <c r="P32" s="312">
        <f t="shared" si="1"/>
        <v>26</v>
      </c>
      <c r="Q32" s="312" t="str">
        <f>D32&amp;【準備】登録!AE76&amp;J32</f>
        <v>岩本剛2HRC</v>
      </c>
      <c r="R32" s="312" t="str">
        <f t="shared" si="2"/>
        <v>w</v>
      </c>
      <c r="S32" s="312" t="str">
        <f t="shared" si="3"/>
        <v/>
      </c>
      <c r="T32" s="312">
        <f t="shared" si="4"/>
        <v>156</v>
      </c>
      <c r="U32" s="312">
        <f>【準備】登録!AM76</f>
        <v>180</v>
      </c>
      <c r="V32" s="312">
        <f>【準備】登録!AJ76</f>
        <v>180</v>
      </c>
    </row>
    <row r="33" spans="1:22" ht="18" customHeight="1">
      <c r="A33" s="9" t="str">
        <f>"第"&amp;【準備】登録!AE77&amp;"節"</f>
        <v>第2節</v>
      </c>
      <c r="B33" s="132">
        <f>【準備】登録!AF77</f>
        <v>27</v>
      </c>
      <c r="C33" s="133" t="str">
        <f>【準備】登録!AI77</f>
        <v>NRC</v>
      </c>
      <c r="D33" s="269" t="str">
        <f>【準備】登録!AK77</f>
        <v>長谷川進</v>
      </c>
      <c r="E33" s="134"/>
      <c r="F33" s="260">
        <v>0</v>
      </c>
      <c r="G33" s="259" t="s">
        <v>369</v>
      </c>
      <c r="H33" s="134"/>
      <c r="I33" s="272" t="str">
        <f>【準備】登録!AL77</f>
        <v>金井健太郎</v>
      </c>
      <c r="J33" s="147" t="str">
        <f>【準備】登録!AN77</f>
        <v>HRC</v>
      </c>
      <c r="L33" s="236" t="str">
        <f t="shared" si="9"/>
        <v>SBC</v>
      </c>
      <c r="M33" s="236" t="str">
        <f t="shared" si="9"/>
        <v>大橋義治</v>
      </c>
      <c r="O33" s="38"/>
      <c r="P33" s="312">
        <f t="shared" si="1"/>
        <v>27</v>
      </c>
      <c r="Q33" s="312" t="str">
        <f>D33&amp;【準備】登録!AE77&amp;J33</f>
        <v>長谷川進2HRC</v>
      </c>
      <c r="R33" s="312">
        <f t="shared" si="2"/>
        <v>0</v>
      </c>
      <c r="S33" s="312" t="str">
        <f t="shared" si="3"/>
        <v/>
      </c>
      <c r="T33" s="312" t="str">
        <f t="shared" si="4"/>
        <v>w</v>
      </c>
      <c r="U33" s="312">
        <f>【準備】登録!AM77</f>
        <v>180</v>
      </c>
      <c r="V33" s="312">
        <f>【準備】登録!AJ77</f>
        <v>180</v>
      </c>
    </row>
    <row r="34" spans="1:22" ht="18" customHeight="1">
      <c r="A34" s="9" t="str">
        <f>"第"&amp;【準備】登録!AE78&amp;"節"</f>
        <v>第2節</v>
      </c>
      <c r="B34" s="132">
        <f>【準備】登録!AF78</f>
        <v>28</v>
      </c>
      <c r="C34" s="133" t="str">
        <f>【準備】登録!AI78</f>
        <v>NRC</v>
      </c>
      <c r="D34" s="269" t="str">
        <f>【準備】登録!AK78</f>
        <v>井本高史</v>
      </c>
      <c r="E34" s="134"/>
      <c r="F34" s="260">
        <v>18</v>
      </c>
      <c r="G34" s="259" t="s">
        <v>369</v>
      </c>
      <c r="H34" s="134"/>
      <c r="I34" s="272" t="str">
        <f>【準備】登録!AL78</f>
        <v>河地恵里</v>
      </c>
      <c r="J34" s="147" t="str">
        <f>【準備】登録!AN78</f>
        <v>HRC</v>
      </c>
      <c r="K34" s="263"/>
      <c r="L34" s="236" t="str">
        <f t="shared" si="9"/>
        <v>SBC</v>
      </c>
      <c r="M34" s="236" t="str">
        <f t="shared" si="9"/>
        <v>山中康寛</v>
      </c>
      <c r="P34" s="312">
        <f t="shared" si="1"/>
        <v>28</v>
      </c>
      <c r="Q34" s="312" t="str">
        <f>D34&amp;【準備】登録!AE78&amp;J34</f>
        <v>井本高史2HRC</v>
      </c>
      <c r="R34" s="312">
        <f t="shared" si="2"/>
        <v>18</v>
      </c>
      <c r="S34" s="312" t="str">
        <f t="shared" si="3"/>
        <v/>
      </c>
      <c r="T34" s="312" t="str">
        <f t="shared" si="4"/>
        <v>w</v>
      </c>
      <c r="U34" s="312">
        <f>【準備】登録!AM78</f>
        <v>140</v>
      </c>
      <c r="V34" s="312">
        <f>【準備】登録!AJ78</f>
        <v>180</v>
      </c>
    </row>
    <row r="35" spans="1:22" ht="18" customHeight="1">
      <c r="A35" s="9" t="str">
        <f>"第"&amp;【準備】登録!AE79&amp;"節"</f>
        <v>第2節</v>
      </c>
      <c r="B35" s="132">
        <f>【準備】登録!AF79</f>
        <v>29</v>
      </c>
      <c r="C35" s="133" t="str">
        <f>【準備】登録!AI79</f>
        <v>NRC</v>
      </c>
      <c r="D35" s="269" t="str">
        <f>【準備】登録!AK79</f>
        <v>金澤茂昌</v>
      </c>
      <c r="E35" s="134"/>
      <c r="F35" s="260" t="s">
        <v>369</v>
      </c>
      <c r="G35" s="259">
        <v>148</v>
      </c>
      <c r="H35" s="134"/>
      <c r="I35" s="272" t="str">
        <f>【準備】登録!AL79</f>
        <v>宮本一</v>
      </c>
      <c r="J35" s="147" t="str">
        <f>【準備】登録!AN79</f>
        <v>HRC</v>
      </c>
      <c r="K35" s="263"/>
      <c r="L35" s="236" t="str">
        <f t="shared" si="9"/>
        <v>SBC</v>
      </c>
      <c r="M35" s="236" t="str">
        <f t="shared" si="9"/>
        <v>大橋洋子</v>
      </c>
      <c r="P35" s="312">
        <f t="shared" si="1"/>
        <v>29</v>
      </c>
      <c r="Q35" s="312" t="str">
        <f>D35&amp;【準備】登録!AE79&amp;J35</f>
        <v>金澤茂昌2HRC</v>
      </c>
      <c r="R35" s="312" t="str">
        <f t="shared" si="2"/>
        <v>w</v>
      </c>
      <c r="S35" s="312" t="str">
        <f t="shared" si="3"/>
        <v/>
      </c>
      <c r="T35" s="312">
        <f t="shared" si="4"/>
        <v>148</v>
      </c>
      <c r="U35" s="312">
        <f>【準備】登録!AM79</f>
        <v>180</v>
      </c>
      <c r="V35" s="312">
        <f>【準備】登録!AJ79</f>
        <v>180</v>
      </c>
    </row>
    <row r="36" spans="1:22" ht="18" customHeight="1">
      <c r="A36" s="9" t="str">
        <f>"第"&amp;【準備】登録!AE80&amp;"節"</f>
        <v>第2節</v>
      </c>
      <c r="B36" s="132">
        <f>【準備】登録!AF80</f>
        <v>30</v>
      </c>
      <c r="C36" s="133" t="str">
        <f>【準備】登録!AI80</f>
        <v>NRC</v>
      </c>
      <c r="D36" s="269" t="str">
        <f>【準備】登録!AK80</f>
        <v>宮野早織</v>
      </c>
      <c r="E36" s="134"/>
      <c r="F36" s="260">
        <v>40</v>
      </c>
      <c r="G36" s="259" t="s">
        <v>369</v>
      </c>
      <c r="H36" s="134"/>
      <c r="I36" s="272" t="str">
        <f>【準備】登録!AL80</f>
        <v>堂園雅也</v>
      </c>
      <c r="J36" s="147" t="str">
        <f>【準備】登録!AN80</f>
        <v>HRC</v>
      </c>
      <c r="K36" s="263"/>
      <c r="L36" s="236" t="str">
        <f t="shared" si="9"/>
        <v>SBC</v>
      </c>
      <c r="M36" s="236" t="str">
        <f t="shared" si="9"/>
        <v>大橋正寛</v>
      </c>
      <c r="P36" s="312">
        <f t="shared" si="1"/>
        <v>30</v>
      </c>
      <c r="Q36" s="312" t="str">
        <f>D36&amp;【準備】登録!AE80&amp;J36</f>
        <v>宮野早織2HRC</v>
      </c>
      <c r="R36" s="312">
        <f t="shared" si="2"/>
        <v>40</v>
      </c>
      <c r="S36" s="312" t="str">
        <f t="shared" si="3"/>
        <v/>
      </c>
      <c r="T36" s="312" t="str">
        <f t="shared" si="4"/>
        <v>w</v>
      </c>
      <c r="U36" s="312">
        <f>【準備】登録!AM80</f>
        <v>180</v>
      </c>
      <c r="V36" s="312">
        <f>【準備】登録!AJ80</f>
        <v>140</v>
      </c>
    </row>
    <row r="37" spans="1:22" ht="18" customHeight="1">
      <c r="A37" s="9" t="str">
        <f>"第"&amp;【準備】登録!AE81&amp;"節"</f>
        <v>第2節</v>
      </c>
      <c r="B37" s="132">
        <f>【準備】登録!AF81</f>
        <v>31</v>
      </c>
      <c r="C37" s="133" t="str">
        <f>【準備】登録!AI81</f>
        <v>NRC</v>
      </c>
      <c r="D37" s="269" t="str">
        <f>【準備】登録!AK81</f>
        <v>吉向翔平</v>
      </c>
      <c r="E37" s="134"/>
      <c r="F37" s="260">
        <v>145</v>
      </c>
      <c r="G37" s="259" t="s">
        <v>369</v>
      </c>
      <c r="H37" s="134"/>
      <c r="I37" s="272" t="str">
        <f>【準備】登録!AL81</f>
        <v>長田智紀</v>
      </c>
      <c r="J37" s="147" t="str">
        <f>【準備】登録!AN81</f>
        <v>SBC</v>
      </c>
      <c r="K37" s="263"/>
      <c r="L37" s="236" t="str">
        <f t="shared" ref="L37:L42" si="10">J25</f>
        <v>HRC</v>
      </c>
      <c r="M37" s="236" t="str">
        <f t="shared" ref="M37:M42" si="11">I25</f>
        <v>平井洸志</v>
      </c>
      <c r="P37" s="312">
        <f t="shared" si="1"/>
        <v>31</v>
      </c>
      <c r="Q37" s="312" t="str">
        <f>D37&amp;【準備】登録!AE81&amp;J37</f>
        <v>吉向翔平2SBC</v>
      </c>
      <c r="R37" s="312">
        <f t="shared" si="2"/>
        <v>145</v>
      </c>
      <c r="S37" s="312" t="str">
        <f t="shared" si="3"/>
        <v/>
      </c>
      <c r="T37" s="312" t="str">
        <f t="shared" si="4"/>
        <v>w</v>
      </c>
      <c r="U37" s="312">
        <f>【準備】登録!AM81</f>
        <v>180</v>
      </c>
      <c r="V37" s="312">
        <f>【準備】登録!AJ81</f>
        <v>180</v>
      </c>
    </row>
    <row r="38" spans="1:22" ht="18" customHeight="1">
      <c r="A38" s="9" t="str">
        <f>"第"&amp;【準備】登録!AE82&amp;"節"</f>
        <v>第2節</v>
      </c>
      <c r="B38" s="132">
        <f>【準備】登録!AF82</f>
        <v>32</v>
      </c>
      <c r="C38" s="133" t="str">
        <f>【準備】登録!AI82</f>
        <v>NRC</v>
      </c>
      <c r="D38" s="303" t="str">
        <f>【準備】登録!AK82</f>
        <v>岩本剛</v>
      </c>
      <c r="E38" s="134"/>
      <c r="F38" s="141">
        <v>45</v>
      </c>
      <c r="G38" s="259" t="s">
        <v>369</v>
      </c>
      <c r="H38" s="134"/>
      <c r="I38" s="304" t="str">
        <f>【準備】登録!AL82</f>
        <v>西峰久祐</v>
      </c>
      <c r="J38" s="147" t="str">
        <f>【準備】登録!AN82</f>
        <v>SBC</v>
      </c>
      <c r="L38" s="236" t="str">
        <f t="shared" si="10"/>
        <v>HRC</v>
      </c>
      <c r="M38" s="236" t="str">
        <f t="shared" si="11"/>
        <v>宮井健太郎</v>
      </c>
      <c r="P38" s="312">
        <f t="shared" si="1"/>
        <v>32</v>
      </c>
      <c r="Q38" s="312" t="str">
        <f>D38&amp;【準備】登録!AE82&amp;J38</f>
        <v>岩本剛2SBC</v>
      </c>
      <c r="R38" s="312">
        <f t="shared" si="2"/>
        <v>45</v>
      </c>
      <c r="S38" s="312" t="str">
        <f t="shared" si="3"/>
        <v/>
      </c>
      <c r="T38" s="312" t="str">
        <f t="shared" si="4"/>
        <v>w</v>
      </c>
      <c r="U38" s="312">
        <f>【準備】登録!AM82</f>
        <v>180</v>
      </c>
      <c r="V38" s="312">
        <f>【準備】登録!AJ82</f>
        <v>180</v>
      </c>
    </row>
    <row r="39" spans="1:22" ht="18" customHeight="1">
      <c r="A39" s="9" t="str">
        <f>"第"&amp;【準備】登録!AE83&amp;"節"</f>
        <v>第2節</v>
      </c>
      <c r="B39" s="132">
        <f>【準備】登録!AF83</f>
        <v>33</v>
      </c>
      <c r="C39" s="133" t="str">
        <f>【準備】登録!AI83</f>
        <v>NRC</v>
      </c>
      <c r="D39" s="269" t="str">
        <f>【準備】登録!AK83</f>
        <v>長谷川進</v>
      </c>
      <c r="E39" s="134"/>
      <c r="F39" s="260" t="s">
        <v>369</v>
      </c>
      <c r="G39" s="259">
        <v>174</v>
      </c>
      <c r="H39" s="134"/>
      <c r="I39" s="272" t="str">
        <f>【準備】登録!AL83</f>
        <v>大橋義治</v>
      </c>
      <c r="J39" s="147" t="str">
        <f>【準備】登録!AN83</f>
        <v>SBC</v>
      </c>
      <c r="K39" s="263"/>
      <c r="L39" s="236" t="str">
        <f t="shared" si="10"/>
        <v>HRC</v>
      </c>
      <c r="M39" s="236" t="str">
        <f t="shared" si="11"/>
        <v>金井健太郎</v>
      </c>
      <c r="P39" s="312">
        <f t="shared" si="1"/>
        <v>33</v>
      </c>
      <c r="Q39" s="312" t="str">
        <f>D39&amp;【準備】登録!AE83&amp;J39</f>
        <v>長谷川進2SBC</v>
      </c>
      <c r="R39" s="312" t="str">
        <f t="shared" si="2"/>
        <v>w</v>
      </c>
      <c r="S39" s="312" t="str">
        <f t="shared" si="3"/>
        <v/>
      </c>
      <c r="T39" s="312">
        <f t="shared" si="4"/>
        <v>174</v>
      </c>
      <c r="U39" s="312">
        <f>【準備】登録!AM83</f>
        <v>180</v>
      </c>
      <c r="V39" s="312">
        <f>【準備】登録!AJ83</f>
        <v>180</v>
      </c>
    </row>
    <row r="40" spans="1:22" ht="18" customHeight="1">
      <c r="A40" s="9" t="str">
        <f>"第"&amp;【準備】登録!AE84&amp;"節"</f>
        <v>第2節</v>
      </c>
      <c r="B40" s="132">
        <f>【準備】登録!AF84</f>
        <v>34</v>
      </c>
      <c r="C40" s="133" t="str">
        <f>【準備】登録!AI84</f>
        <v>NRC</v>
      </c>
      <c r="D40" s="269" t="str">
        <f>【準備】登録!AK84</f>
        <v>井本高史</v>
      </c>
      <c r="E40" s="134"/>
      <c r="F40" s="141">
        <v>32</v>
      </c>
      <c r="G40" s="259" t="s">
        <v>369</v>
      </c>
      <c r="H40" s="115"/>
      <c r="I40" s="272" t="str">
        <f>【準備】登録!AL84</f>
        <v>山中康寛</v>
      </c>
      <c r="J40" s="147" t="str">
        <f>【準備】登録!AN84</f>
        <v>SBC</v>
      </c>
      <c r="K40" s="263"/>
      <c r="L40" s="236" t="str">
        <f t="shared" si="10"/>
        <v>HRC</v>
      </c>
      <c r="M40" s="236" t="str">
        <f t="shared" si="11"/>
        <v>河地恵里</v>
      </c>
      <c r="P40" s="312">
        <f t="shared" si="1"/>
        <v>34</v>
      </c>
      <c r="Q40" s="312" t="str">
        <f>D40&amp;【準備】登録!AE84&amp;J40</f>
        <v>井本高史2SBC</v>
      </c>
      <c r="R40" s="312">
        <f t="shared" si="2"/>
        <v>32</v>
      </c>
      <c r="S40" s="312" t="str">
        <f t="shared" si="3"/>
        <v/>
      </c>
      <c r="T40" s="312" t="str">
        <f t="shared" si="4"/>
        <v>w</v>
      </c>
      <c r="U40" s="312">
        <f>【準備】登録!AM84</f>
        <v>180</v>
      </c>
      <c r="V40" s="312">
        <f>【準備】登録!AJ84</f>
        <v>180</v>
      </c>
    </row>
    <row r="41" spans="1:22" ht="18" customHeight="1">
      <c r="A41" s="9" t="str">
        <f>"第"&amp;【準備】登録!AE85&amp;"節"</f>
        <v>第2節</v>
      </c>
      <c r="B41" s="132">
        <f>【準備】登録!AF85</f>
        <v>35</v>
      </c>
      <c r="C41" s="133" t="str">
        <f>【準備】登録!AI85</f>
        <v>NRC</v>
      </c>
      <c r="D41" s="269" t="str">
        <f>【準備】登録!AK85</f>
        <v>金澤茂昌</v>
      </c>
      <c r="E41" s="134"/>
      <c r="F41" s="260" t="s">
        <v>369</v>
      </c>
      <c r="G41" s="259">
        <v>115</v>
      </c>
      <c r="H41" s="115"/>
      <c r="I41" s="272" t="str">
        <f>【準備】登録!AL85</f>
        <v>大橋洋子</v>
      </c>
      <c r="J41" s="147" t="str">
        <f>【準備】登録!AN85</f>
        <v>SBC</v>
      </c>
      <c r="K41" s="263"/>
      <c r="L41" s="236" t="str">
        <f t="shared" si="10"/>
        <v>HRC</v>
      </c>
      <c r="M41" s="236" t="str">
        <f t="shared" si="11"/>
        <v>宮本一</v>
      </c>
      <c r="P41" s="312">
        <f t="shared" si="1"/>
        <v>35</v>
      </c>
      <c r="Q41" s="312" t="str">
        <f>D41&amp;【準備】登録!AE85&amp;J41</f>
        <v>金澤茂昌2SBC</v>
      </c>
      <c r="R41" s="312" t="str">
        <f t="shared" si="2"/>
        <v>w</v>
      </c>
      <c r="S41" s="312" t="str">
        <f t="shared" si="3"/>
        <v/>
      </c>
      <c r="T41" s="312">
        <f t="shared" si="4"/>
        <v>115</v>
      </c>
      <c r="U41" s="312">
        <f>【準備】登録!AM85</f>
        <v>140</v>
      </c>
      <c r="V41" s="312">
        <f>【準備】登録!AJ85</f>
        <v>180</v>
      </c>
    </row>
    <row r="42" spans="1:22" ht="18" customHeight="1">
      <c r="A42" s="9" t="str">
        <f>"第"&amp;【準備】登録!AE86&amp;"節"</f>
        <v>第2節</v>
      </c>
      <c r="B42" s="132">
        <f>【準備】登録!AF86</f>
        <v>36</v>
      </c>
      <c r="C42" s="133" t="str">
        <f>【準備】登録!AI86</f>
        <v>NRC</v>
      </c>
      <c r="D42" s="269" t="str">
        <f>【準備】登録!AK86</f>
        <v>宮野早織</v>
      </c>
      <c r="E42" s="134"/>
      <c r="F42" s="260">
        <v>45</v>
      </c>
      <c r="G42" s="259" t="s">
        <v>369</v>
      </c>
      <c r="H42" s="134"/>
      <c r="I42" s="272" t="str">
        <f>【準備】登録!AL86</f>
        <v>大橋正寛</v>
      </c>
      <c r="J42" s="147" t="str">
        <f>【準備】登録!AN86</f>
        <v>SBC</v>
      </c>
      <c r="K42" s="263"/>
      <c r="L42" s="236" t="str">
        <f t="shared" si="10"/>
        <v>HRC</v>
      </c>
      <c r="M42" s="236" t="str">
        <f t="shared" si="11"/>
        <v>堂園雅也</v>
      </c>
      <c r="P42" s="312">
        <f t="shared" si="1"/>
        <v>36</v>
      </c>
      <c r="Q42" s="312" t="str">
        <f>D42&amp;【準備】登録!AE86&amp;J42</f>
        <v>宮野早織2SBC</v>
      </c>
      <c r="R42" s="312">
        <f t="shared" si="2"/>
        <v>45</v>
      </c>
      <c r="S42" s="312" t="str">
        <f t="shared" si="3"/>
        <v/>
      </c>
      <c r="T42" s="312" t="str">
        <f t="shared" si="4"/>
        <v>w</v>
      </c>
      <c r="U42" s="312">
        <f>【準備】登録!AM86</f>
        <v>180</v>
      </c>
      <c r="V42" s="312">
        <f>【準備】登録!AJ86</f>
        <v>140</v>
      </c>
    </row>
    <row r="43" spans="1:22" ht="18" customHeight="1">
      <c r="A43" s="9" t="str">
        <f>"第"&amp;【準備】登録!AE87&amp;"節"</f>
        <v>第3節</v>
      </c>
      <c r="B43" s="132">
        <f>【準備】登録!AF87</f>
        <v>37</v>
      </c>
      <c r="C43" s="133" t="str">
        <f>【準備】登録!AI87</f>
        <v>SBC</v>
      </c>
      <c r="D43" s="269" t="str">
        <f>【準備】登録!AK87</f>
        <v>西峰久祐</v>
      </c>
      <c r="E43" s="134"/>
      <c r="F43" s="260">
        <v>91</v>
      </c>
      <c r="G43" s="259" t="s">
        <v>369</v>
      </c>
      <c r="H43" s="134"/>
      <c r="I43" s="272" t="str">
        <f>【準備】登録!AL87</f>
        <v>金井健太郎</v>
      </c>
      <c r="J43" s="147" t="str">
        <f>【準備】登録!AN87</f>
        <v>HRC</v>
      </c>
      <c r="K43" s="263"/>
      <c r="L43" s="236" t="str">
        <f t="shared" ref="L43:M48" si="12">C49</f>
        <v>NRC</v>
      </c>
      <c r="M43" s="236" t="str">
        <f t="shared" si="12"/>
        <v>吉向翔平</v>
      </c>
      <c r="P43" s="312">
        <f t="shared" si="1"/>
        <v>37</v>
      </c>
      <c r="Q43" s="312" t="str">
        <f>D43&amp;【準備】登録!AE87&amp;J43</f>
        <v>西峰久祐3HRC</v>
      </c>
      <c r="R43" s="312">
        <f t="shared" si="2"/>
        <v>91</v>
      </c>
      <c r="S43" s="312" t="str">
        <f t="shared" si="3"/>
        <v/>
      </c>
      <c r="T43" s="312" t="str">
        <f t="shared" si="4"/>
        <v>w</v>
      </c>
      <c r="U43" s="312">
        <f>【準備】登録!AM87</f>
        <v>180</v>
      </c>
      <c r="V43" s="312">
        <f>【準備】登録!AJ87</f>
        <v>180</v>
      </c>
    </row>
    <row r="44" spans="1:22" ht="18" customHeight="1">
      <c r="A44" s="9" t="str">
        <f>"第"&amp;【準備】登録!AE88&amp;"節"</f>
        <v>第3節</v>
      </c>
      <c r="B44" s="132">
        <f>【準備】登録!AF88</f>
        <v>38</v>
      </c>
      <c r="C44" s="133" t="str">
        <f>【準備】登録!AI88</f>
        <v>SBC</v>
      </c>
      <c r="D44" s="269" t="str">
        <f>【準備】登録!AK88</f>
        <v>大橋義治</v>
      </c>
      <c r="E44" s="134"/>
      <c r="F44" s="260" t="s">
        <v>369</v>
      </c>
      <c r="G44" s="259">
        <v>85</v>
      </c>
      <c r="H44" s="134"/>
      <c r="I44" s="272" t="str">
        <f>【準備】登録!AL88</f>
        <v>河地恵里</v>
      </c>
      <c r="J44" s="147" t="str">
        <f>【準備】登録!AN88</f>
        <v>HRC</v>
      </c>
      <c r="K44" s="263"/>
      <c r="L44" s="236" t="str">
        <f t="shared" si="12"/>
        <v>NRC</v>
      </c>
      <c r="M44" s="236" t="str">
        <f t="shared" si="12"/>
        <v>岩本剛</v>
      </c>
      <c r="P44" s="312">
        <f t="shared" si="1"/>
        <v>38</v>
      </c>
      <c r="Q44" s="312" t="str">
        <f>D44&amp;【準備】登録!AE88&amp;J44</f>
        <v>大橋義治3HRC</v>
      </c>
      <c r="R44" s="312" t="str">
        <f t="shared" si="2"/>
        <v>w</v>
      </c>
      <c r="S44" s="312" t="str">
        <f t="shared" si="3"/>
        <v/>
      </c>
      <c r="T44" s="312">
        <f t="shared" si="4"/>
        <v>85</v>
      </c>
      <c r="U44" s="312">
        <f>【準備】登録!AM88</f>
        <v>140</v>
      </c>
      <c r="V44" s="312">
        <f>【準備】登録!AJ88</f>
        <v>180</v>
      </c>
    </row>
    <row r="45" spans="1:22" ht="18" customHeight="1">
      <c r="A45" s="9" t="str">
        <f>"第"&amp;【準備】登録!AE89&amp;"節"</f>
        <v>第3節</v>
      </c>
      <c r="B45" s="132">
        <f>【準備】登録!AF89</f>
        <v>39</v>
      </c>
      <c r="C45" s="133" t="str">
        <f>【準備】登録!AI89</f>
        <v>SBC</v>
      </c>
      <c r="D45" s="269" t="str">
        <f>【準備】登録!AK89</f>
        <v>山中康寛</v>
      </c>
      <c r="E45" s="134"/>
      <c r="F45" s="260">
        <v>3</v>
      </c>
      <c r="G45" s="259" t="s">
        <v>369</v>
      </c>
      <c r="H45" s="134"/>
      <c r="I45" s="272" t="str">
        <f>【準備】登録!AL89</f>
        <v>宮本一</v>
      </c>
      <c r="J45" s="147" t="str">
        <f>【準備】登録!AN89</f>
        <v>HRC</v>
      </c>
      <c r="K45" s="263"/>
      <c r="L45" s="236" t="str">
        <f t="shared" si="12"/>
        <v>NRC</v>
      </c>
      <c r="M45" s="236" t="str">
        <f t="shared" si="12"/>
        <v>長谷川進</v>
      </c>
      <c r="P45" s="312">
        <f t="shared" si="1"/>
        <v>39</v>
      </c>
      <c r="Q45" s="312" t="str">
        <f>D45&amp;【準備】登録!AE89&amp;J45</f>
        <v>山中康寛3HRC</v>
      </c>
      <c r="R45" s="312">
        <f t="shared" si="2"/>
        <v>3</v>
      </c>
      <c r="S45" s="312" t="str">
        <f t="shared" si="3"/>
        <v/>
      </c>
      <c r="T45" s="312" t="str">
        <f t="shared" si="4"/>
        <v>w</v>
      </c>
      <c r="U45" s="312">
        <f>【準備】登録!AM89</f>
        <v>180</v>
      </c>
      <c r="V45" s="312">
        <f>【準備】登録!AJ89</f>
        <v>180</v>
      </c>
    </row>
    <row r="46" spans="1:22" ht="18" customHeight="1">
      <c r="A46" s="9" t="str">
        <f>"第"&amp;【準備】登録!AE90&amp;"節"</f>
        <v>第3節</v>
      </c>
      <c r="B46" s="132">
        <f>【準備】登録!AF90</f>
        <v>40</v>
      </c>
      <c r="C46" s="133" t="str">
        <f>【準備】登録!AI90</f>
        <v>SBC</v>
      </c>
      <c r="D46" s="303" t="str">
        <f>【準備】登録!AK90</f>
        <v>大橋洋子</v>
      </c>
      <c r="E46" s="134"/>
      <c r="F46" s="260" t="s">
        <v>369</v>
      </c>
      <c r="G46" s="135">
        <v>173</v>
      </c>
      <c r="H46" s="134"/>
      <c r="I46" s="304" t="str">
        <f>【準備】登録!AL90</f>
        <v>堂園雅也</v>
      </c>
      <c r="J46" s="147" t="str">
        <f>【準備】登録!AN90</f>
        <v>HRC</v>
      </c>
      <c r="L46" s="236" t="str">
        <f t="shared" si="12"/>
        <v>NRC</v>
      </c>
      <c r="M46" s="236" t="str">
        <f t="shared" si="12"/>
        <v>井本高史</v>
      </c>
      <c r="P46" s="312">
        <f t="shared" si="1"/>
        <v>40</v>
      </c>
      <c r="Q46" s="312" t="str">
        <f>D46&amp;【準備】登録!AE90&amp;J46</f>
        <v>大橋洋子3HRC</v>
      </c>
      <c r="R46" s="312" t="str">
        <f t="shared" si="2"/>
        <v>w</v>
      </c>
      <c r="S46" s="312" t="str">
        <f t="shared" si="3"/>
        <v/>
      </c>
      <c r="T46" s="312">
        <f t="shared" si="4"/>
        <v>173</v>
      </c>
      <c r="U46" s="312">
        <f>【準備】登録!AM90</f>
        <v>180</v>
      </c>
      <c r="V46" s="312">
        <f>【準備】登録!AJ90</f>
        <v>140</v>
      </c>
    </row>
    <row r="47" spans="1:22" ht="18" customHeight="1">
      <c r="A47" s="9" t="str">
        <f>"第"&amp;【準備】登録!AE91&amp;"節"</f>
        <v>第3節</v>
      </c>
      <c r="B47" s="132">
        <f>【準備】登録!AF91</f>
        <v>41</v>
      </c>
      <c r="C47" s="133" t="str">
        <f>【準備】登録!AI91</f>
        <v>SBC</v>
      </c>
      <c r="D47" s="269" t="str">
        <f>【準備】登録!AK91</f>
        <v>大橋正寛</v>
      </c>
      <c r="E47" s="134"/>
      <c r="F47" s="260" t="s">
        <v>369</v>
      </c>
      <c r="G47" s="259">
        <v>49</v>
      </c>
      <c r="H47" s="134"/>
      <c r="I47" s="272" t="str">
        <f>【準備】登録!AL91</f>
        <v>平井洸志</v>
      </c>
      <c r="J47" s="147" t="str">
        <f>【準備】登録!AN91</f>
        <v>HRC</v>
      </c>
      <c r="L47" s="236" t="str">
        <f t="shared" si="12"/>
        <v>NRC</v>
      </c>
      <c r="M47" s="236" t="str">
        <f t="shared" si="12"/>
        <v>金澤茂昌</v>
      </c>
      <c r="P47" s="312">
        <f t="shared" si="1"/>
        <v>41</v>
      </c>
      <c r="Q47" s="312" t="str">
        <f>D47&amp;【準備】登録!AE91&amp;J47</f>
        <v>大橋正寛3HRC</v>
      </c>
      <c r="R47" s="312" t="str">
        <f t="shared" si="2"/>
        <v>w</v>
      </c>
      <c r="S47" s="312" t="str">
        <f t="shared" si="3"/>
        <v/>
      </c>
      <c r="T47" s="312">
        <f t="shared" si="4"/>
        <v>49</v>
      </c>
      <c r="U47" s="312">
        <f>【準備】登録!AM91</f>
        <v>180</v>
      </c>
      <c r="V47" s="312">
        <f>【準備】登録!AJ91</f>
        <v>180</v>
      </c>
    </row>
    <row r="48" spans="1:22" ht="18" customHeight="1">
      <c r="A48" s="9" t="str">
        <f>"第"&amp;【準備】登録!AE92&amp;"節"</f>
        <v>第3節</v>
      </c>
      <c r="B48" s="132">
        <f>【準備】登録!AF92</f>
        <v>42</v>
      </c>
      <c r="C48" s="133" t="str">
        <f>【準備】登録!AI92</f>
        <v>SBC</v>
      </c>
      <c r="D48" s="269" t="str">
        <f>【準備】登録!AK92</f>
        <v>長田智紀</v>
      </c>
      <c r="E48" s="134"/>
      <c r="F48" s="260" t="s">
        <v>369</v>
      </c>
      <c r="G48" s="259">
        <v>88</v>
      </c>
      <c r="H48" s="134"/>
      <c r="I48" s="272" t="str">
        <f>【準備】登録!AL92</f>
        <v>宮井健太郎</v>
      </c>
      <c r="J48" s="147" t="str">
        <f>【準備】登録!AN92</f>
        <v>HRC</v>
      </c>
      <c r="L48" s="236" t="str">
        <f t="shared" si="12"/>
        <v>NRC</v>
      </c>
      <c r="M48" s="236" t="str">
        <f t="shared" si="12"/>
        <v>宮野早織</v>
      </c>
      <c r="P48" s="312">
        <f t="shared" si="1"/>
        <v>42</v>
      </c>
      <c r="Q48" s="312" t="str">
        <f>D48&amp;【準備】登録!AE92&amp;J48</f>
        <v>長田智紀3HRC</v>
      </c>
      <c r="R48" s="312" t="str">
        <f t="shared" si="2"/>
        <v>w</v>
      </c>
      <c r="S48" s="312" t="str">
        <f t="shared" si="3"/>
        <v/>
      </c>
      <c r="T48" s="312">
        <f t="shared" si="4"/>
        <v>88</v>
      </c>
      <c r="U48" s="312">
        <f>【準備】登録!AM92</f>
        <v>180</v>
      </c>
      <c r="V48" s="312">
        <f>【準備】登録!AJ92</f>
        <v>180</v>
      </c>
    </row>
    <row r="49" spans="1:22" ht="18" customHeight="1">
      <c r="A49" s="9" t="str">
        <f>"第"&amp;【準備】登録!AE93&amp;"節"</f>
        <v>第3節</v>
      </c>
      <c r="B49" s="132">
        <f>【準備】登録!AF93</f>
        <v>43</v>
      </c>
      <c r="C49" s="133" t="str">
        <f>【準備】登録!AI93</f>
        <v>NRC</v>
      </c>
      <c r="D49" s="269" t="str">
        <f>【準備】登録!AK93</f>
        <v>吉向翔平</v>
      </c>
      <c r="E49" s="134"/>
      <c r="F49" s="141">
        <v>95</v>
      </c>
      <c r="G49" s="259" t="s">
        <v>369</v>
      </c>
      <c r="H49" s="115"/>
      <c r="I49" s="272" t="str">
        <f>【準備】登録!AL93</f>
        <v>金井健太郎</v>
      </c>
      <c r="J49" s="147" t="str">
        <f>【準備】登録!AN93</f>
        <v>HRC</v>
      </c>
      <c r="K49" s="263"/>
      <c r="L49" s="236" t="str">
        <f t="shared" ref="L49:M54" si="13">C43</f>
        <v>SBC</v>
      </c>
      <c r="M49" s="236" t="str">
        <f t="shared" si="13"/>
        <v>西峰久祐</v>
      </c>
      <c r="P49" s="312">
        <f t="shared" si="1"/>
        <v>43</v>
      </c>
      <c r="Q49" s="312" t="str">
        <f>D49&amp;【準備】登録!AE93&amp;J49</f>
        <v>吉向翔平3HRC</v>
      </c>
      <c r="R49" s="312">
        <f t="shared" si="2"/>
        <v>95</v>
      </c>
      <c r="S49" s="312" t="str">
        <f t="shared" si="3"/>
        <v/>
      </c>
      <c r="T49" s="312" t="str">
        <f t="shared" si="4"/>
        <v>w</v>
      </c>
      <c r="U49" s="312">
        <f>【準備】登録!AM93</f>
        <v>180</v>
      </c>
      <c r="V49" s="312">
        <f>【準備】登録!AJ93</f>
        <v>180</v>
      </c>
    </row>
    <row r="50" spans="1:22" ht="18" customHeight="1">
      <c r="A50" s="9" t="str">
        <f>"第"&amp;【準備】登録!AE94&amp;"節"</f>
        <v>第3節</v>
      </c>
      <c r="B50" s="132">
        <f>【準備】登録!AF94</f>
        <v>44</v>
      </c>
      <c r="C50" s="133" t="str">
        <f>【準備】登録!AI94</f>
        <v>NRC</v>
      </c>
      <c r="D50" s="269" t="str">
        <f>【準備】登録!AK94</f>
        <v>岩本剛</v>
      </c>
      <c r="E50" s="134"/>
      <c r="F50" s="141">
        <v>165</v>
      </c>
      <c r="G50" s="259" t="s">
        <v>369</v>
      </c>
      <c r="H50" s="134"/>
      <c r="I50" s="272" t="str">
        <f>【準備】登録!AL94</f>
        <v>河地恵里</v>
      </c>
      <c r="J50" s="147" t="str">
        <f>【準備】登録!AN94</f>
        <v>HRC</v>
      </c>
      <c r="K50" s="263"/>
      <c r="L50" s="236" t="str">
        <f t="shared" si="13"/>
        <v>SBC</v>
      </c>
      <c r="M50" s="236" t="str">
        <f t="shared" si="13"/>
        <v>大橋義治</v>
      </c>
      <c r="P50" s="312">
        <f t="shared" si="1"/>
        <v>44</v>
      </c>
      <c r="Q50" s="312" t="str">
        <f>D50&amp;【準備】登録!AE94&amp;J50</f>
        <v>岩本剛3HRC</v>
      </c>
      <c r="R50" s="312">
        <f t="shared" si="2"/>
        <v>165</v>
      </c>
      <c r="S50" s="312" t="str">
        <f t="shared" si="3"/>
        <v/>
      </c>
      <c r="T50" s="312" t="str">
        <f t="shared" si="4"/>
        <v>w</v>
      </c>
      <c r="U50" s="312">
        <f>【準備】登録!AM94</f>
        <v>140</v>
      </c>
      <c r="V50" s="312">
        <f>【準備】登録!AJ94</f>
        <v>180</v>
      </c>
    </row>
    <row r="51" spans="1:22" ht="18" customHeight="1">
      <c r="A51" s="9" t="str">
        <f>"第"&amp;【準備】登録!AE95&amp;"節"</f>
        <v>第3節</v>
      </c>
      <c r="B51" s="132">
        <f>【準備】登録!AF95</f>
        <v>45</v>
      </c>
      <c r="C51" s="133" t="str">
        <f>【準備】登録!AI95</f>
        <v>NRC</v>
      </c>
      <c r="D51" s="269" t="str">
        <f>【準備】登録!AK95</f>
        <v>長谷川進</v>
      </c>
      <c r="E51" s="134"/>
      <c r="F51" s="260">
        <v>56</v>
      </c>
      <c r="G51" s="259" t="s">
        <v>369</v>
      </c>
      <c r="H51" s="134"/>
      <c r="I51" s="272" t="str">
        <f>【準備】登録!AL95</f>
        <v>宮本一</v>
      </c>
      <c r="J51" s="147" t="str">
        <f>【準備】登録!AN95</f>
        <v>HRC</v>
      </c>
      <c r="K51" s="263"/>
      <c r="L51" s="236" t="str">
        <f t="shared" si="13"/>
        <v>SBC</v>
      </c>
      <c r="M51" s="236" t="str">
        <f t="shared" si="13"/>
        <v>山中康寛</v>
      </c>
      <c r="P51" s="312">
        <f t="shared" si="1"/>
        <v>45</v>
      </c>
      <c r="Q51" s="312" t="str">
        <f>D51&amp;【準備】登録!AE95&amp;J51</f>
        <v>長谷川進3HRC</v>
      </c>
      <c r="R51" s="312">
        <f t="shared" si="2"/>
        <v>56</v>
      </c>
      <c r="S51" s="312" t="str">
        <f t="shared" si="3"/>
        <v/>
      </c>
      <c r="T51" s="312" t="str">
        <f t="shared" si="4"/>
        <v>w</v>
      </c>
      <c r="U51" s="312">
        <f>【準備】登録!AM95</f>
        <v>180</v>
      </c>
      <c r="V51" s="312">
        <f>【準備】登録!AJ95</f>
        <v>180</v>
      </c>
    </row>
    <row r="52" spans="1:22" ht="18" customHeight="1">
      <c r="A52" s="9" t="str">
        <f>"第"&amp;【準備】登録!AE96&amp;"節"</f>
        <v>第3節</v>
      </c>
      <c r="B52" s="132">
        <f>【準備】登録!AF96</f>
        <v>46</v>
      </c>
      <c r="C52" s="133" t="str">
        <f>【準備】登録!AI96</f>
        <v>NRC</v>
      </c>
      <c r="D52" s="269" t="str">
        <f>【準備】登録!AK96</f>
        <v>井本高史</v>
      </c>
      <c r="E52" s="134"/>
      <c r="F52" s="260">
        <v>126</v>
      </c>
      <c r="G52" s="259" t="s">
        <v>369</v>
      </c>
      <c r="H52" s="134"/>
      <c r="I52" s="272" t="str">
        <f>【準備】登録!AL96</f>
        <v>堂園雅也</v>
      </c>
      <c r="J52" s="147" t="str">
        <f>【準備】登録!AN96</f>
        <v>HRC</v>
      </c>
      <c r="K52" s="263"/>
      <c r="L52" s="236" t="str">
        <f t="shared" si="13"/>
        <v>SBC</v>
      </c>
      <c r="M52" s="236" t="str">
        <f t="shared" si="13"/>
        <v>大橋洋子</v>
      </c>
      <c r="P52" s="312">
        <f t="shared" si="1"/>
        <v>46</v>
      </c>
      <c r="Q52" s="312" t="str">
        <f>D52&amp;【準備】登録!AE96&amp;J52</f>
        <v>井本高史3HRC</v>
      </c>
      <c r="R52" s="312">
        <f t="shared" si="2"/>
        <v>126</v>
      </c>
      <c r="S52" s="312" t="str">
        <f t="shared" si="3"/>
        <v/>
      </c>
      <c r="T52" s="312" t="str">
        <f t="shared" si="4"/>
        <v>w</v>
      </c>
      <c r="U52" s="312">
        <f>【準備】登録!AM96</f>
        <v>180</v>
      </c>
      <c r="V52" s="312">
        <f>【準備】登録!AJ96</f>
        <v>180</v>
      </c>
    </row>
    <row r="53" spans="1:22" ht="18" customHeight="1">
      <c r="A53" s="9" t="str">
        <f>"第"&amp;【準備】登録!AE97&amp;"節"</f>
        <v>第3節</v>
      </c>
      <c r="B53" s="132">
        <f>【準備】登録!AF97</f>
        <v>47</v>
      </c>
      <c r="C53" s="133" t="str">
        <f>【準備】登録!AI97</f>
        <v>NRC</v>
      </c>
      <c r="D53" s="269" t="str">
        <f>【準備】登録!AK97</f>
        <v>金澤茂昌</v>
      </c>
      <c r="E53" s="134"/>
      <c r="F53" s="260" t="s">
        <v>369</v>
      </c>
      <c r="G53" s="259">
        <v>148</v>
      </c>
      <c r="H53" s="134"/>
      <c r="I53" s="272" t="str">
        <f>【準備】登録!AL97</f>
        <v>平井洸志</v>
      </c>
      <c r="J53" s="147" t="str">
        <f>【準備】登録!AN97</f>
        <v>HRC</v>
      </c>
      <c r="K53" s="263"/>
      <c r="L53" s="236" t="str">
        <f t="shared" si="13"/>
        <v>SBC</v>
      </c>
      <c r="M53" s="236" t="str">
        <f t="shared" si="13"/>
        <v>大橋正寛</v>
      </c>
      <c r="P53" s="312">
        <f t="shared" si="1"/>
        <v>47</v>
      </c>
      <c r="Q53" s="312" t="str">
        <f>D53&amp;【準備】登録!AE97&amp;J53</f>
        <v>金澤茂昌3HRC</v>
      </c>
      <c r="R53" s="312" t="str">
        <f t="shared" si="2"/>
        <v>w</v>
      </c>
      <c r="S53" s="312" t="str">
        <f t="shared" si="3"/>
        <v/>
      </c>
      <c r="T53" s="312">
        <f t="shared" si="4"/>
        <v>148</v>
      </c>
      <c r="U53" s="312">
        <f>【準備】登録!AM97</f>
        <v>180</v>
      </c>
      <c r="V53" s="312">
        <f>【準備】登録!AJ97</f>
        <v>180</v>
      </c>
    </row>
    <row r="54" spans="1:22" ht="18" customHeight="1">
      <c r="A54" s="9" t="str">
        <f>"第"&amp;【準備】登録!AE98&amp;"節"</f>
        <v>第3節</v>
      </c>
      <c r="B54" s="132">
        <f>【準備】登録!AF98</f>
        <v>48</v>
      </c>
      <c r="C54" s="133" t="str">
        <f>【準備】登録!AI98</f>
        <v>NRC</v>
      </c>
      <c r="D54" s="303" t="str">
        <f>【準備】登録!AK98</f>
        <v>宮野早織</v>
      </c>
      <c r="E54" s="134"/>
      <c r="F54" s="141">
        <v>78</v>
      </c>
      <c r="G54" s="259" t="s">
        <v>369</v>
      </c>
      <c r="H54" s="134"/>
      <c r="I54" s="304" t="str">
        <f>【準備】登録!AL98</f>
        <v>宮井健太郎</v>
      </c>
      <c r="J54" s="147" t="str">
        <f>【準備】登録!AN98</f>
        <v>HRC</v>
      </c>
      <c r="L54" s="236" t="str">
        <f t="shared" si="13"/>
        <v>SBC</v>
      </c>
      <c r="M54" s="236" t="str">
        <f t="shared" si="13"/>
        <v>長田智紀</v>
      </c>
      <c r="P54" s="312">
        <f t="shared" si="1"/>
        <v>48</v>
      </c>
      <c r="Q54" s="312" t="str">
        <f>D54&amp;【準備】登録!AE98&amp;J54</f>
        <v>宮野早織3HRC</v>
      </c>
      <c r="R54" s="312">
        <f t="shared" si="2"/>
        <v>78</v>
      </c>
      <c r="S54" s="312" t="str">
        <f t="shared" si="3"/>
        <v/>
      </c>
      <c r="T54" s="312" t="str">
        <f t="shared" si="4"/>
        <v>w</v>
      </c>
      <c r="U54" s="312">
        <f>【準備】登録!AM98</f>
        <v>180</v>
      </c>
      <c r="V54" s="312">
        <f>【準備】登録!AJ98</f>
        <v>140</v>
      </c>
    </row>
    <row r="55" spans="1:22" ht="18" customHeight="1">
      <c r="A55" s="9" t="str">
        <f>"第"&amp;【準備】登録!AE99&amp;"節"</f>
        <v>第3節</v>
      </c>
      <c r="B55" s="132">
        <f>【準備】登録!AF99</f>
        <v>49</v>
      </c>
      <c r="C55" s="133" t="str">
        <f>【準備】登録!AI99</f>
        <v>NRC</v>
      </c>
      <c r="D55" s="269" t="str">
        <f>【準備】登録!AK99</f>
        <v>吉向翔平</v>
      </c>
      <c r="E55" s="134"/>
      <c r="F55" s="260">
        <v>42</v>
      </c>
      <c r="G55" s="259" t="s">
        <v>369</v>
      </c>
      <c r="H55" s="134">
        <v>109</v>
      </c>
      <c r="I55" s="272" t="str">
        <f>【準備】登録!AL99</f>
        <v>西峰久祐</v>
      </c>
      <c r="J55" s="147" t="str">
        <f>【準備】登録!AN99</f>
        <v>SBC</v>
      </c>
      <c r="L55" s="236" t="str">
        <f t="shared" ref="L55:L60" si="14">J43</f>
        <v>HRC</v>
      </c>
      <c r="M55" s="236" t="str">
        <f t="shared" ref="M55:M60" si="15">I43</f>
        <v>金井健太郎</v>
      </c>
      <c r="P55" s="312">
        <f t="shared" si="1"/>
        <v>49</v>
      </c>
      <c r="Q55" s="312" t="str">
        <f>D55&amp;【準備】登録!AE99&amp;J55</f>
        <v>吉向翔平3SBC</v>
      </c>
      <c r="R55" s="312">
        <f t="shared" si="2"/>
        <v>42</v>
      </c>
      <c r="S55" s="312" t="str">
        <f t="shared" si="3"/>
        <v/>
      </c>
      <c r="T55" s="312" t="str">
        <f t="shared" si="4"/>
        <v>w</v>
      </c>
      <c r="U55" s="312">
        <f>【準備】登録!AM99</f>
        <v>180</v>
      </c>
      <c r="V55" s="312">
        <f>【準備】登録!AJ99</f>
        <v>180</v>
      </c>
    </row>
    <row r="56" spans="1:22" ht="18" customHeight="1">
      <c r="A56" s="9" t="str">
        <f>"第"&amp;【準備】登録!AE100&amp;"節"</f>
        <v>第3節</v>
      </c>
      <c r="B56" s="132">
        <f>【準備】登録!AF100</f>
        <v>50</v>
      </c>
      <c r="C56" s="133" t="str">
        <f>【準備】登録!AI100</f>
        <v>NRC</v>
      </c>
      <c r="D56" s="269" t="str">
        <f>【準備】登録!AK100</f>
        <v>岩本剛</v>
      </c>
      <c r="E56" s="134"/>
      <c r="F56" s="260" t="s">
        <v>369</v>
      </c>
      <c r="G56" s="259">
        <v>90</v>
      </c>
      <c r="H56" s="134"/>
      <c r="I56" s="272" t="str">
        <f>【準備】登録!AL100</f>
        <v>大橋義治</v>
      </c>
      <c r="J56" s="147" t="str">
        <f>【準備】登録!AN100</f>
        <v>SBC</v>
      </c>
      <c r="L56" s="236" t="str">
        <f t="shared" si="14"/>
        <v>HRC</v>
      </c>
      <c r="M56" s="236" t="str">
        <f t="shared" si="15"/>
        <v>河地恵里</v>
      </c>
      <c r="P56" s="312">
        <f t="shared" si="1"/>
        <v>50</v>
      </c>
      <c r="Q56" s="312" t="str">
        <f>D56&amp;【準備】登録!AE100&amp;J56</f>
        <v>岩本剛3SBC</v>
      </c>
      <c r="R56" s="312" t="str">
        <f t="shared" si="2"/>
        <v>w</v>
      </c>
      <c r="S56" s="312" t="str">
        <f t="shared" si="3"/>
        <v/>
      </c>
      <c r="T56" s="312">
        <f t="shared" si="4"/>
        <v>90</v>
      </c>
      <c r="U56" s="312">
        <f>【準備】登録!AM100</f>
        <v>180</v>
      </c>
      <c r="V56" s="312">
        <f>【準備】登録!AJ100</f>
        <v>180</v>
      </c>
    </row>
    <row r="57" spans="1:22" ht="18" customHeight="1">
      <c r="A57" s="9" t="str">
        <f>"第"&amp;【準備】登録!AE101&amp;"節"</f>
        <v>第3節</v>
      </c>
      <c r="B57" s="132">
        <f>【準備】登録!AF101</f>
        <v>51</v>
      </c>
      <c r="C57" s="133" t="str">
        <f>【準備】登録!AI101</f>
        <v>NRC</v>
      </c>
      <c r="D57" s="269" t="str">
        <f>【準備】登録!AK101</f>
        <v>長谷川進</v>
      </c>
      <c r="E57" s="134"/>
      <c r="F57" s="260" t="s">
        <v>369</v>
      </c>
      <c r="G57" s="259">
        <v>150</v>
      </c>
      <c r="H57" s="134"/>
      <c r="I57" s="272" t="str">
        <f>【準備】登録!AL101</f>
        <v>山中康寛</v>
      </c>
      <c r="J57" s="147" t="str">
        <f>【準備】登録!AN101</f>
        <v>SBC</v>
      </c>
      <c r="L57" s="236" t="str">
        <f t="shared" si="14"/>
        <v>HRC</v>
      </c>
      <c r="M57" s="236" t="str">
        <f t="shared" si="15"/>
        <v>宮本一</v>
      </c>
      <c r="P57" s="312">
        <f t="shared" si="1"/>
        <v>51</v>
      </c>
      <c r="Q57" s="312" t="str">
        <f>D57&amp;【準備】登録!AE101&amp;J57</f>
        <v>長谷川進3SBC</v>
      </c>
      <c r="R57" s="312" t="str">
        <f t="shared" si="2"/>
        <v>w</v>
      </c>
      <c r="S57" s="312" t="str">
        <f t="shared" si="3"/>
        <v/>
      </c>
      <c r="T57" s="312">
        <f t="shared" si="4"/>
        <v>150</v>
      </c>
      <c r="U57" s="312">
        <f>【準備】登録!AM101</f>
        <v>180</v>
      </c>
      <c r="V57" s="312">
        <f>【準備】登録!AJ101</f>
        <v>180</v>
      </c>
    </row>
    <row r="58" spans="1:22" ht="18" customHeight="1">
      <c r="A58" s="9" t="str">
        <f>"第"&amp;【準備】登録!AE102&amp;"節"</f>
        <v>第3節</v>
      </c>
      <c r="B58" s="132">
        <f>【準備】登録!AF102</f>
        <v>52</v>
      </c>
      <c r="C58" s="133" t="str">
        <f>【準備】登録!AI102</f>
        <v>NRC</v>
      </c>
      <c r="D58" s="269" t="str">
        <f>【準備】登録!AK102</f>
        <v>井本高史</v>
      </c>
      <c r="E58" s="134"/>
      <c r="F58" s="260">
        <v>175</v>
      </c>
      <c r="G58" s="259" t="s">
        <v>369</v>
      </c>
      <c r="H58" s="134"/>
      <c r="I58" s="272" t="str">
        <f>【準備】登録!AL102</f>
        <v>大橋洋子</v>
      </c>
      <c r="J58" s="147" t="str">
        <f>【準備】登録!AN102</f>
        <v>SBC</v>
      </c>
      <c r="L58" s="236" t="str">
        <f t="shared" si="14"/>
        <v>HRC</v>
      </c>
      <c r="M58" s="236" t="str">
        <f t="shared" si="15"/>
        <v>堂園雅也</v>
      </c>
      <c r="P58" s="312">
        <f t="shared" si="1"/>
        <v>52</v>
      </c>
      <c r="Q58" s="312" t="str">
        <f>D58&amp;【準備】登録!AE102&amp;J58</f>
        <v>井本高史3SBC</v>
      </c>
      <c r="R58" s="312">
        <f t="shared" si="2"/>
        <v>175</v>
      </c>
      <c r="S58" s="312" t="str">
        <f t="shared" si="3"/>
        <v/>
      </c>
      <c r="T58" s="312" t="str">
        <f t="shared" si="4"/>
        <v>w</v>
      </c>
      <c r="U58" s="312">
        <f>【準備】登録!AM102</f>
        <v>140</v>
      </c>
      <c r="V58" s="312">
        <f>【準備】登録!AJ102</f>
        <v>180</v>
      </c>
    </row>
    <row r="59" spans="1:22" ht="18" customHeight="1">
      <c r="A59" s="9" t="str">
        <f>"第"&amp;【準備】登録!AE103&amp;"節"</f>
        <v>第3節</v>
      </c>
      <c r="B59" s="132">
        <f>【準備】登録!AF103</f>
        <v>53</v>
      </c>
      <c r="C59" s="133" t="str">
        <f>【準備】登録!AI103</f>
        <v>NRC</v>
      </c>
      <c r="D59" s="269" t="str">
        <f>【準備】登録!AK103</f>
        <v>金澤茂昌</v>
      </c>
      <c r="E59" s="134"/>
      <c r="F59" s="260" t="s">
        <v>369</v>
      </c>
      <c r="G59" s="259">
        <v>58</v>
      </c>
      <c r="H59" s="134"/>
      <c r="I59" s="272" t="str">
        <f>【準備】登録!AL103</f>
        <v>大橋正寛</v>
      </c>
      <c r="J59" s="147" t="str">
        <f>【準備】登録!AN103</f>
        <v>SBC</v>
      </c>
      <c r="L59" s="236" t="str">
        <f t="shared" si="14"/>
        <v>HRC</v>
      </c>
      <c r="M59" s="236" t="str">
        <f t="shared" si="15"/>
        <v>平井洸志</v>
      </c>
      <c r="P59" s="312">
        <f t="shared" si="1"/>
        <v>53</v>
      </c>
      <c r="Q59" s="312" t="str">
        <f>D59&amp;【準備】登録!AE103&amp;J59</f>
        <v>金澤茂昌3SBC</v>
      </c>
      <c r="R59" s="312" t="str">
        <f t="shared" si="2"/>
        <v>w</v>
      </c>
      <c r="S59" s="312" t="str">
        <f t="shared" si="3"/>
        <v/>
      </c>
      <c r="T59" s="312">
        <f t="shared" si="4"/>
        <v>58</v>
      </c>
      <c r="U59" s="312">
        <f>【準備】登録!AM103</f>
        <v>180</v>
      </c>
      <c r="V59" s="312">
        <f>【準備】登録!AJ103</f>
        <v>180</v>
      </c>
    </row>
    <row r="60" spans="1:22" ht="18" customHeight="1">
      <c r="A60" s="9" t="str">
        <f>"第"&amp;【準備】登録!AE104&amp;"節"</f>
        <v>第3節</v>
      </c>
      <c r="B60" s="132">
        <f>【準備】登録!AF104</f>
        <v>54</v>
      </c>
      <c r="C60" s="133" t="str">
        <f>【準備】登録!AI104</f>
        <v>NRC</v>
      </c>
      <c r="D60" s="269" t="str">
        <f>【準備】登録!AK104</f>
        <v>宮野早織</v>
      </c>
      <c r="E60" s="134"/>
      <c r="F60" s="260">
        <v>110</v>
      </c>
      <c r="G60" s="259" t="s">
        <v>369</v>
      </c>
      <c r="H60" s="134"/>
      <c r="I60" s="272" t="str">
        <f>【準備】登録!AL104</f>
        <v>長田智紀</v>
      </c>
      <c r="J60" s="147" t="str">
        <f>【準備】登録!AN104</f>
        <v>SBC</v>
      </c>
      <c r="L60" s="236" t="str">
        <f t="shared" si="14"/>
        <v>HRC</v>
      </c>
      <c r="M60" s="236" t="str">
        <f t="shared" si="15"/>
        <v>宮井健太郎</v>
      </c>
      <c r="P60" s="312">
        <f t="shared" si="1"/>
        <v>54</v>
      </c>
      <c r="Q60" s="312" t="str">
        <f>D60&amp;【準備】登録!AE104&amp;J60</f>
        <v>宮野早織3SBC</v>
      </c>
      <c r="R60" s="312">
        <f t="shared" si="2"/>
        <v>110</v>
      </c>
      <c r="S60" s="312" t="str">
        <f t="shared" si="3"/>
        <v/>
      </c>
      <c r="T60" s="312" t="str">
        <f t="shared" si="4"/>
        <v>w</v>
      </c>
      <c r="U60" s="312">
        <f>【準備】登録!AM104</f>
        <v>180</v>
      </c>
      <c r="V60" s="312">
        <f>【準備】登録!AJ104</f>
        <v>140</v>
      </c>
    </row>
    <row r="61" spans="1:22" ht="18" customHeight="1">
      <c r="A61" s="9" t="e">
        <f>"第"&amp;【準備】登録!AE105&amp;"節"</f>
        <v>#N/A</v>
      </c>
      <c r="B61" s="132">
        <f>【準備】登録!AF105</f>
        <v>55</v>
      </c>
      <c r="C61" s="133" t="e">
        <f>【準備】登録!AI105</f>
        <v>#N/A</v>
      </c>
      <c r="D61" s="269" t="e">
        <f>【準備】登録!AK105</f>
        <v>#N/A</v>
      </c>
      <c r="E61" s="134"/>
      <c r="F61" s="260"/>
      <c r="G61" s="259"/>
      <c r="H61" s="134"/>
      <c r="I61" s="272" t="e">
        <f>【準備】登録!AL105</f>
        <v>#N/A</v>
      </c>
      <c r="J61" s="147" t="e">
        <f>【準備】登録!AN105</f>
        <v>#N/A</v>
      </c>
      <c r="L61" s="236" t="e">
        <f t="shared" ref="L61:L62" si="16">J69</f>
        <v>#N/A</v>
      </c>
      <c r="M61" s="236" t="e">
        <f t="shared" ref="M61:M62" si="17">I69</f>
        <v>#N/A</v>
      </c>
      <c r="P61" s="312">
        <f t="shared" si="1"/>
        <v>55</v>
      </c>
      <c r="Q61" s="312" t="e">
        <f>D61&amp;【準備】登録!AE105&amp;J61</f>
        <v>#N/A</v>
      </c>
      <c r="R61" s="312" t="str">
        <f t="shared" si="2"/>
        <v/>
      </c>
      <c r="S61" s="312" t="str">
        <f t="shared" si="3"/>
        <v/>
      </c>
      <c r="T61" s="312" t="str">
        <f t="shared" si="4"/>
        <v/>
      </c>
      <c r="U61" s="312" t="e">
        <f>【準備】登録!AM105</f>
        <v>#N/A</v>
      </c>
      <c r="V61" s="312" t="e">
        <f>【準備】登録!AJ105</f>
        <v>#N/A</v>
      </c>
    </row>
    <row r="62" spans="1:22" ht="18" customHeight="1">
      <c r="A62" s="9" t="e">
        <f>"第"&amp;【準備】登録!AE106&amp;"節"</f>
        <v>#N/A</v>
      </c>
      <c r="B62" s="132">
        <f>【準備】登録!AF106</f>
        <v>56</v>
      </c>
      <c r="C62" s="133" t="e">
        <f>【準備】登録!AI106</f>
        <v>#N/A</v>
      </c>
      <c r="D62" s="303" t="e">
        <f>【準備】登録!AK106</f>
        <v>#N/A</v>
      </c>
      <c r="E62" s="134"/>
      <c r="F62" s="141"/>
      <c r="G62" s="135"/>
      <c r="H62" s="134"/>
      <c r="I62" s="304" t="e">
        <f>【準備】登録!AL106</f>
        <v>#N/A</v>
      </c>
      <c r="J62" s="147" t="e">
        <f>【準備】登録!AN106</f>
        <v>#N/A</v>
      </c>
      <c r="L62" s="236" t="e">
        <f t="shared" si="16"/>
        <v>#N/A</v>
      </c>
      <c r="M62" s="236" t="e">
        <f t="shared" si="17"/>
        <v>#N/A</v>
      </c>
      <c r="N62" s="143"/>
      <c r="P62" s="312">
        <f t="shared" si="1"/>
        <v>56</v>
      </c>
      <c r="Q62" s="312" t="e">
        <f>D62&amp;【準備】登録!AE106&amp;J62</f>
        <v>#N/A</v>
      </c>
      <c r="R62" s="312" t="str">
        <f t="shared" si="2"/>
        <v/>
      </c>
      <c r="S62" s="312" t="str">
        <f t="shared" si="3"/>
        <v/>
      </c>
      <c r="T62" s="312" t="str">
        <f t="shared" si="4"/>
        <v/>
      </c>
      <c r="U62" s="312" t="e">
        <f>【準備】登録!AM106</f>
        <v>#N/A</v>
      </c>
      <c r="V62" s="312" t="e">
        <f>【準備】登録!AJ106</f>
        <v>#N/A</v>
      </c>
    </row>
    <row r="63" spans="1:22" ht="18" customHeight="1">
      <c r="A63" s="9" t="e">
        <f>"第"&amp;【準備】登録!AE107&amp;"節"</f>
        <v>#N/A</v>
      </c>
      <c r="B63" s="132">
        <f>【準備】登録!AF107</f>
        <v>57</v>
      </c>
      <c r="C63" s="133" t="e">
        <f>【準備】登録!AI107</f>
        <v>#N/A</v>
      </c>
      <c r="D63" s="269" t="e">
        <f>【準備】登録!AK107</f>
        <v>#N/A</v>
      </c>
      <c r="E63" s="134"/>
      <c r="F63" s="141"/>
      <c r="G63" s="259"/>
      <c r="H63" s="134"/>
      <c r="I63" s="272" t="e">
        <f>【準備】登録!AL107</f>
        <v>#N/A</v>
      </c>
      <c r="J63" s="147" t="e">
        <f>【準備】登録!AN107</f>
        <v>#N/A</v>
      </c>
      <c r="L63" s="236" t="str">
        <f t="shared" ref="L63:L70" si="18">J55</f>
        <v>SBC</v>
      </c>
      <c r="M63" s="236" t="str">
        <f t="shared" ref="M63:M70" si="19">I55</f>
        <v>西峰久祐</v>
      </c>
      <c r="N63" s="144"/>
      <c r="P63" s="312">
        <f t="shared" si="1"/>
        <v>57</v>
      </c>
      <c r="Q63" s="312" t="e">
        <f>D63&amp;【準備】登録!AE107&amp;J63</f>
        <v>#N/A</v>
      </c>
      <c r="R63" s="312" t="str">
        <f t="shared" si="2"/>
        <v/>
      </c>
      <c r="S63" s="312" t="str">
        <f t="shared" si="3"/>
        <v/>
      </c>
      <c r="T63" s="312" t="str">
        <f t="shared" si="4"/>
        <v/>
      </c>
      <c r="U63" s="312" t="e">
        <f>【準備】登録!AM107</f>
        <v>#N/A</v>
      </c>
      <c r="V63" s="312" t="e">
        <f>【準備】登録!AJ107</f>
        <v>#N/A</v>
      </c>
    </row>
    <row r="64" spans="1:22" ht="18" customHeight="1">
      <c r="A64" s="9" t="e">
        <f>"第"&amp;【準備】登録!AE108&amp;"節"</f>
        <v>#N/A</v>
      </c>
      <c r="B64" s="132">
        <f>【準備】登録!AF108</f>
        <v>58</v>
      </c>
      <c r="C64" s="133" t="e">
        <f>【準備】登録!AI108</f>
        <v>#N/A</v>
      </c>
      <c r="D64" s="269" t="e">
        <f>【準備】登録!AK108</f>
        <v>#N/A</v>
      </c>
      <c r="E64" s="134"/>
      <c r="F64" s="260"/>
      <c r="G64" s="259"/>
      <c r="H64" s="134"/>
      <c r="I64" s="272" t="e">
        <f>【準備】登録!AL108</f>
        <v>#N/A</v>
      </c>
      <c r="J64" s="147" t="e">
        <f>【準備】登録!AN108</f>
        <v>#N/A</v>
      </c>
      <c r="L64" s="236" t="str">
        <f t="shared" si="18"/>
        <v>SBC</v>
      </c>
      <c r="M64" s="236" t="str">
        <f t="shared" si="19"/>
        <v>大橋義治</v>
      </c>
      <c r="N64" s="144"/>
      <c r="P64" s="312">
        <f t="shared" si="1"/>
        <v>58</v>
      </c>
      <c r="Q64" s="312" t="e">
        <f>D64&amp;【準備】登録!AE108&amp;J64</f>
        <v>#N/A</v>
      </c>
      <c r="R64" s="312" t="str">
        <f t="shared" si="2"/>
        <v/>
      </c>
      <c r="S64" s="312" t="str">
        <f t="shared" si="3"/>
        <v/>
      </c>
      <c r="T64" s="312" t="str">
        <f t="shared" si="4"/>
        <v/>
      </c>
      <c r="U64" s="312" t="e">
        <f>【準備】登録!AM108</f>
        <v>#N/A</v>
      </c>
      <c r="V64" s="312" t="e">
        <f>【準備】登録!AJ108</f>
        <v>#N/A</v>
      </c>
    </row>
    <row r="65" spans="1:22" ht="18" customHeight="1">
      <c r="A65" s="9" t="e">
        <f>"第"&amp;【準備】登録!AE109&amp;"節"</f>
        <v>#N/A</v>
      </c>
      <c r="B65" s="132">
        <f>【準備】登録!AF109</f>
        <v>59</v>
      </c>
      <c r="C65" s="133" t="e">
        <f>【準備】登録!AI109</f>
        <v>#N/A</v>
      </c>
      <c r="D65" s="269" t="e">
        <f>【準備】登録!AK109</f>
        <v>#N/A</v>
      </c>
      <c r="E65" s="134"/>
      <c r="F65" s="260"/>
      <c r="G65" s="259"/>
      <c r="H65" s="134"/>
      <c r="I65" s="272" t="e">
        <f>【準備】登録!AL109</f>
        <v>#N/A</v>
      </c>
      <c r="J65" s="147" t="e">
        <f>【準備】登録!AN109</f>
        <v>#N/A</v>
      </c>
      <c r="L65" s="236" t="str">
        <f t="shared" si="18"/>
        <v>SBC</v>
      </c>
      <c r="M65" s="236" t="str">
        <f t="shared" si="19"/>
        <v>山中康寛</v>
      </c>
      <c r="N65" s="144"/>
      <c r="P65" s="312">
        <f t="shared" si="1"/>
        <v>59</v>
      </c>
      <c r="Q65" s="312" t="e">
        <f>D65&amp;【準備】登録!AE109&amp;J65</f>
        <v>#N/A</v>
      </c>
      <c r="R65" s="312" t="str">
        <f t="shared" si="2"/>
        <v/>
      </c>
      <c r="S65" s="312" t="str">
        <f t="shared" si="3"/>
        <v/>
      </c>
      <c r="T65" s="312" t="str">
        <f t="shared" si="4"/>
        <v/>
      </c>
      <c r="U65" s="312" t="e">
        <f>【準備】登録!AM109</f>
        <v>#N/A</v>
      </c>
      <c r="V65" s="312" t="e">
        <f>【準備】登録!AJ109</f>
        <v>#N/A</v>
      </c>
    </row>
    <row r="66" spans="1:22" ht="18" customHeight="1">
      <c r="A66" s="9" t="e">
        <f>"第"&amp;【準備】登録!AE110&amp;"節"</f>
        <v>#N/A</v>
      </c>
      <c r="B66" s="132">
        <f>【準備】登録!AF110</f>
        <v>60</v>
      </c>
      <c r="C66" s="133" t="e">
        <f>【準備】登録!AI110</f>
        <v>#N/A</v>
      </c>
      <c r="D66" s="269" t="e">
        <f>【準備】登録!AK110</f>
        <v>#N/A</v>
      </c>
      <c r="E66" s="134"/>
      <c r="F66" s="260"/>
      <c r="G66" s="259"/>
      <c r="H66" s="134"/>
      <c r="I66" s="272" t="e">
        <f>【準備】登録!AL110</f>
        <v>#N/A</v>
      </c>
      <c r="J66" s="147" t="e">
        <f>【準備】登録!AN110</f>
        <v>#N/A</v>
      </c>
      <c r="L66" s="236" t="str">
        <f t="shared" si="18"/>
        <v>SBC</v>
      </c>
      <c r="M66" s="236" t="str">
        <f t="shared" si="19"/>
        <v>大橋洋子</v>
      </c>
      <c r="P66" s="312">
        <f t="shared" si="1"/>
        <v>60</v>
      </c>
      <c r="Q66" s="312" t="e">
        <f>D66&amp;【準備】登録!AE110&amp;J66</f>
        <v>#N/A</v>
      </c>
      <c r="R66" s="312" t="str">
        <f t="shared" si="2"/>
        <v/>
      </c>
      <c r="S66" s="312" t="str">
        <f t="shared" si="3"/>
        <v/>
      </c>
      <c r="T66" s="312" t="str">
        <f t="shared" si="4"/>
        <v/>
      </c>
      <c r="U66" s="312" t="e">
        <f>【準備】登録!AM110</f>
        <v>#N/A</v>
      </c>
      <c r="V66" s="312" t="e">
        <f>【準備】登録!AJ110</f>
        <v>#N/A</v>
      </c>
    </row>
    <row r="67" spans="1:22" ht="18" customHeight="1">
      <c r="A67" s="9" t="e">
        <f>"第"&amp;【準備】登録!AE111&amp;"節"</f>
        <v>#N/A</v>
      </c>
      <c r="B67" s="132">
        <f>【準備】登録!AF111</f>
        <v>61</v>
      </c>
      <c r="C67" s="133" t="e">
        <f>【準備】登録!AI111</f>
        <v>#N/A</v>
      </c>
      <c r="D67" s="269" t="e">
        <f>【準備】登録!AK111</f>
        <v>#N/A</v>
      </c>
      <c r="E67" s="134"/>
      <c r="F67" s="260"/>
      <c r="G67" s="259"/>
      <c r="H67" s="134"/>
      <c r="I67" s="272" t="e">
        <f>【準備】登録!AL111</f>
        <v>#N/A</v>
      </c>
      <c r="J67" s="147" t="e">
        <f>【準備】登録!AN111</f>
        <v>#N/A</v>
      </c>
      <c r="L67" s="236" t="str">
        <f t="shared" si="18"/>
        <v>SBC</v>
      </c>
      <c r="M67" s="236" t="str">
        <f t="shared" si="19"/>
        <v>大橋正寛</v>
      </c>
      <c r="P67" s="312">
        <f t="shared" si="1"/>
        <v>61</v>
      </c>
      <c r="Q67" s="312" t="e">
        <f>D67&amp;【準備】登録!AE111&amp;J67</f>
        <v>#N/A</v>
      </c>
      <c r="R67" s="312" t="str">
        <f t="shared" si="2"/>
        <v/>
      </c>
      <c r="S67" s="312" t="str">
        <f t="shared" si="3"/>
        <v/>
      </c>
      <c r="T67" s="312" t="str">
        <f t="shared" si="4"/>
        <v/>
      </c>
      <c r="U67" s="312" t="e">
        <f>【準備】登録!AM111</f>
        <v>#N/A</v>
      </c>
      <c r="V67" s="312" t="e">
        <f>【準備】登録!AJ111</f>
        <v>#N/A</v>
      </c>
    </row>
    <row r="68" spans="1:22" ht="18" customHeight="1">
      <c r="A68" s="9" t="e">
        <f>"第"&amp;【準備】登録!AE112&amp;"節"</f>
        <v>#N/A</v>
      </c>
      <c r="B68" s="132">
        <f>【準備】登録!AF112</f>
        <v>62</v>
      </c>
      <c r="C68" s="133" t="e">
        <f>【準備】登録!AI112</f>
        <v>#N/A</v>
      </c>
      <c r="D68" s="269" t="e">
        <f>【準備】登録!AK112</f>
        <v>#N/A</v>
      </c>
      <c r="E68" s="134"/>
      <c r="F68" s="260"/>
      <c r="G68" s="259"/>
      <c r="H68" s="134"/>
      <c r="I68" s="272" t="e">
        <f>【準備】登録!AL112</f>
        <v>#N/A</v>
      </c>
      <c r="J68" s="147" t="e">
        <f>【準備】登録!AN112</f>
        <v>#N/A</v>
      </c>
      <c r="L68" s="236" t="str">
        <f t="shared" si="18"/>
        <v>SBC</v>
      </c>
      <c r="M68" s="236" t="str">
        <f t="shared" si="19"/>
        <v>長田智紀</v>
      </c>
      <c r="P68" s="312">
        <f t="shared" si="1"/>
        <v>62</v>
      </c>
      <c r="Q68" s="312" t="e">
        <f>D68&amp;【準備】登録!AE112&amp;J68</f>
        <v>#N/A</v>
      </c>
      <c r="R68" s="312" t="str">
        <f t="shared" si="2"/>
        <v/>
      </c>
      <c r="S68" s="312" t="str">
        <f t="shared" si="3"/>
        <v/>
      </c>
      <c r="T68" s="312" t="str">
        <f t="shared" si="4"/>
        <v/>
      </c>
      <c r="U68" s="312" t="e">
        <f>【準備】登録!AM112</f>
        <v>#N/A</v>
      </c>
      <c r="V68" s="312" t="e">
        <f>【準備】登録!AJ112</f>
        <v>#N/A</v>
      </c>
    </row>
    <row r="69" spans="1:22" ht="18" customHeight="1">
      <c r="A69" s="9" t="e">
        <f>"第"&amp;【準備】登録!AE113&amp;"節"</f>
        <v>#N/A</v>
      </c>
      <c r="B69" s="132">
        <f>【準備】登録!AF113</f>
        <v>63</v>
      </c>
      <c r="C69" s="133" t="e">
        <f>【準備】登録!AI113</f>
        <v>#N/A</v>
      </c>
      <c r="D69" s="269" t="e">
        <f>【準備】登録!AK113</f>
        <v>#N/A</v>
      </c>
      <c r="E69" s="134"/>
      <c r="F69" s="260"/>
      <c r="G69" s="259"/>
      <c r="H69" s="134"/>
      <c r="I69" s="272" t="e">
        <f>【準備】登録!AL113</f>
        <v>#N/A</v>
      </c>
      <c r="J69" s="147" t="e">
        <f>【準備】登録!AN113</f>
        <v>#N/A</v>
      </c>
      <c r="L69" s="236" t="e">
        <f t="shared" si="18"/>
        <v>#N/A</v>
      </c>
      <c r="M69" s="236" t="e">
        <f t="shared" si="19"/>
        <v>#N/A</v>
      </c>
      <c r="P69" s="312">
        <f t="shared" si="1"/>
        <v>63</v>
      </c>
      <c r="Q69" s="312" t="e">
        <f>D69&amp;【準備】登録!AE113&amp;J69</f>
        <v>#N/A</v>
      </c>
      <c r="R69" s="312" t="str">
        <f t="shared" si="2"/>
        <v/>
      </c>
      <c r="S69" s="312" t="str">
        <f t="shared" si="3"/>
        <v/>
      </c>
      <c r="T69" s="312" t="str">
        <f t="shared" si="4"/>
        <v/>
      </c>
      <c r="U69" s="312" t="e">
        <f>【準備】登録!AM113</f>
        <v>#N/A</v>
      </c>
      <c r="V69" s="312" t="e">
        <f>【準備】登録!AJ113</f>
        <v>#N/A</v>
      </c>
    </row>
    <row r="70" spans="1:22" ht="18" customHeight="1">
      <c r="A70" s="9" t="e">
        <f>"第"&amp;【準備】登録!AE114&amp;"節"</f>
        <v>#N/A</v>
      </c>
      <c r="B70" s="132">
        <f>【準備】登録!AF114</f>
        <v>64</v>
      </c>
      <c r="C70" s="133" t="e">
        <f>【準備】登録!AI114</f>
        <v>#N/A</v>
      </c>
      <c r="D70" s="303" t="e">
        <f>【準備】登録!AK114</f>
        <v>#N/A</v>
      </c>
      <c r="E70" s="134"/>
      <c r="F70" s="141"/>
      <c r="G70" s="135"/>
      <c r="H70" s="134"/>
      <c r="I70" s="304" t="e">
        <f>【準備】登録!AL114</f>
        <v>#N/A</v>
      </c>
      <c r="J70" s="147" t="e">
        <f>【準備】登録!AN114</f>
        <v>#N/A</v>
      </c>
      <c r="L70" s="236" t="e">
        <f t="shared" si="18"/>
        <v>#N/A</v>
      </c>
      <c r="M70" s="236" t="e">
        <f t="shared" si="19"/>
        <v>#N/A</v>
      </c>
      <c r="P70" s="312">
        <f t="shared" si="1"/>
        <v>64</v>
      </c>
      <c r="Q70" s="312" t="e">
        <f>D70&amp;【準備】登録!AE114&amp;J70</f>
        <v>#N/A</v>
      </c>
      <c r="R70" s="312" t="str">
        <f t="shared" si="2"/>
        <v/>
      </c>
      <c r="S70" s="312" t="str">
        <f t="shared" si="3"/>
        <v/>
      </c>
      <c r="T70" s="312" t="str">
        <f t="shared" si="4"/>
        <v/>
      </c>
      <c r="U70" s="312" t="e">
        <f>【準備】登録!AM114</f>
        <v>#N/A</v>
      </c>
      <c r="V70" s="312" t="e">
        <f>【準備】登録!AJ114</f>
        <v>#N/A</v>
      </c>
    </row>
    <row r="71" spans="1:22" ht="18" customHeight="1">
      <c r="A71" s="9" t="e">
        <f>"第"&amp;【準備】登録!AE115&amp;"節"</f>
        <v>#N/A</v>
      </c>
      <c r="B71" s="132">
        <f>【準備】登録!AF115</f>
        <v>65</v>
      </c>
      <c r="C71" s="133" t="e">
        <f>【準備】登録!AI115</f>
        <v>#N/A</v>
      </c>
      <c r="D71" s="269" t="e">
        <f>【準備】登録!AK115</f>
        <v>#N/A</v>
      </c>
      <c r="E71" s="134"/>
      <c r="F71" s="260"/>
      <c r="G71" s="259"/>
      <c r="H71" s="134"/>
      <c r="I71" s="272" t="e">
        <f>【準備】登録!AL115</f>
        <v>#N/A</v>
      </c>
      <c r="J71" s="147" t="e">
        <f>【準備】登録!AN115</f>
        <v>#N/A</v>
      </c>
      <c r="L71" s="236" t="e">
        <f t="shared" ref="L71:M78" si="20">C63</f>
        <v>#N/A</v>
      </c>
      <c r="M71" s="236" t="e">
        <f t="shared" si="20"/>
        <v>#N/A</v>
      </c>
      <c r="P71" s="312">
        <f t="shared" si="1"/>
        <v>65</v>
      </c>
      <c r="Q71" s="312" t="e">
        <f>D71&amp;【準備】登録!AE115&amp;J71</f>
        <v>#N/A</v>
      </c>
      <c r="R71" s="312" t="str">
        <f t="shared" si="2"/>
        <v/>
      </c>
      <c r="S71" s="312" t="str">
        <f t="shared" si="3"/>
        <v/>
      </c>
      <c r="T71" s="312" t="str">
        <f t="shared" si="4"/>
        <v/>
      </c>
      <c r="U71" s="312" t="e">
        <f>【準備】登録!AM115</f>
        <v>#N/A</v>
      </c>
      <c r="V71" s="312" t="e">
        <f>【準備】登録!AJ115</f>
        <v>#N/A</v>
      </c>
    </row>
    <row r="72" spans="1:22" ht="18" customHeight="1">
      <c r="A72" s="9" t="e">
        <f>"第"&amp;【準備】登録!AE116&amp;"節"</f>
        <v>#N/A</v>
      </c>
      <c r="B72" s="132">
        <f>【準備】登録!AF116</f>
        <v>66</v>
      </c>
      <c r="C72" s="133" t="e">
        <f>【準備】登録!AI116</f>
        <v>#N/A</v>
      </c>
      <c r="D72" s="269" t="e">
        <f>【準備】登録!AK116</f>
        <v>#N/A</v>
      </c>
      <c r="E72" s="134"/>
      <c r="F72" s="260"/>
      <c r="G72" s="259"/>
      <c r="H72" s="134"/>
      <c r="I72" s="272" t="e">
        <f>【準備】登録!AL116</f>
        <v>#N/A</v>
      </c>
      <c r="J72" s="147" t="e">
        <f>【準備】登録!AN116</f>
        <v>#N/A</v>
      </c>
      <c r="L72" s="236" t="e">
        <f t="shared" si="20"/>
        <v>#N/A</v>
      </c>
      <c r="M72" s="236" t="e">
        <f t="shared" si="20"/>
        <v>#N/A</v>
      </c>
      <c r="P72" s="312">
        <f t="shared" ref="P72:P78" si="21">B72</f>
        <v>66</v>
      </c>
      <c r="Q72" s="312" t="e">
        <f>D72&amp;【準備】登録!AE116&amp;J72</f>
        <v>#N/A</v>
      </c>
      <c r="R72" s="312" t="str">
        <f t="shared" ref="R72:R78" si="22">IF(F72="","",F72)</f>
        <v/>
      </c>
      <c r="S72" s="312" t="str">
        <f t="shared" ref="S72:S78" si="23">IF(E72="","",E72)</f>
        <v/>
      </c>
      <c r="T72" s="312" t="str">
        <f t="shared" ref="T72:T78" si="24">IF(G72="","",G72)</f>
        <v/>
      </c>
      <c r="U72" s="312" t="e">
        <f>【準備】登録!AM116</f>
        <v>#N/A</v>
      </c>
      <c r="V72" s="312" t="e">
        <f>【準備】登録!AJ116</f>
        <v>#N/A</v>
      </c>
    </row>
    <row r="73" spans="1:22" ht="18" customHeight="1">
      <c r="A73" s="9" t="e">
        <f>"第"&amp;【準備】登録!AE117&amp;"節"</f>
        <v>#N/A</v>
      </c>
      <c r="B73" s="132">
        <f>【準備】登録!AF117</f>
        <v>67</v>
      </c>
      <c r="C73" s="133" t="e">
        <f>【準備】登録!AI117</f>
        <v>#N/A</v>
      </c>
      <c r="D73" s="269" t="e">
        <f>【準備】登録!AK117</f>
        <v>#N/A</v>
      </c>
      <c r="E73" s="134"/>
      <c r="F73" s="260"/>
      <c r="G73" s="135"/>
      <c r="H73" s="134"/>
      <c r="I73" s="272" t="e">
        <f>【準備】登録!AL117</f>
        <v>#N/A</v>
      </c>
      <c r="J73" s="147" t="e">
        <f>【準備】登録!AN117</f>
        <v>#N/A</v>
      </c>
      <c r="L73" s="236" t="e">
        <f t="shared" si="20"/>
        <v>#N/A</v>
      </c>
      <c r="M73" s="236" t="e">
        <f t="shared" si="20"/>
        <v>#N/A</v>
      </c>
      <c r="P73" s="312">
        <f t="shared" si="21"/>
        <v>67</v>
      </c>
      <c r="Q73" s="312" t="e">
        <f>D73&amp;【準備】登録!AE117&amp;J73</f>
        <v>#N/A</v>
      </c>
      <c r="R73" s="312" t="str">
        <f t="shared" si="22"/>
        <v/>
      </c>
      <c r="S73" s="312" t="str">
        <f t="shared" si="23"/>
        <v/>
      </c>
      <c r="T73" s="312" t="str">
        <f t="shared" si="24"/>
        <v/>
      </c>
      <c r="U73" s="312" t="e">
        <f>【準備】登録!AM117</f>
        <v>#N/A</v>
      </c>
      <c r="V73" s="312" t="e">
        <f>【準備】登録!AJ117</f>
        <v>#N/A</v>
      </c>
    </row>
    <row r="74" spans="1:22" ht="18" customHeight="1">
      <c r="A74" s="9" t="e">
        <f>"第"&amp;【準備】登録!AE118&amp;"節"</f>
        <v>#N/A</v>
      </c>
      <c r="B74" s="132">
        <f>【準備】登録!AF118</f>
        <v>68</v>
      </c>
      <c r="C74" s="133" t="e">
        <f>【準備】登録!AI118</f>
        <v>#N/A</v>
      </c>
      <c r="D74" s="269" t="e">
        <f>【準備】登録!AK118</f>
        <v>#N/A</v>
      </c>
      <c r="E74" s="134"/>
      <c r="F74" s="260"/>
      <c r="G74" s="259"/>
      <c r="H74" s="115"/>
      <c r="I74" s="272" t="e">
        <f>【準備】登録!AL118</f>
        <v>#N/A</v>
      </c>
      <c r="J74" s="147" t="e">
        <f>【準備】登録!AN118</f>
        <v>#N/A</v>
      </c>
      <c r="L74" s="236" t="e">
        <f t="shared" si="20"/>
        <v>#N/A</v>
      </c>
      <c r="M74" s="236" t="e">
        <f t="shared" si="20"/>
        <v>#N/A</v>
      </c>
      <c r="P74" s="312">
        <f t="shared" si="21"/>
        <v>68</v>
      </c>
      <c r="Q74" s="312" t="e">
        <f>D74&amp;【準備】登録!AE118&amp;J74</f>
        <v>#N/A</v>
      </c>
      <c r="R74" s="312" t="str">
        <f t="shared" si="22"/>
        <v/>
      </c>
      <c r="S74" s="312" t="str">
        <f t="shared" si="23"/>
        <v/>
      </c>
      <c r="T74" s="312" t="str">
        <f t="shared" si="24"/>
        <v/>
      </c>
      <c r="U74" s="312" t="e">
        <f>【準備】登録!AM118</f>
        <v>#N/A</v>
      </c>
      <c r="V74" s="312" t="e">
        <f>【準備】登録!AJ118</f>
        <v>#N/A</v>
      </c>
    </row>
    <row r="75" spans="1:22" ht="18" customHeight="1">
      <c r="A75" s="9" t="e">
        <f>"第"&amp;【準備】登録!AE119&amp;"節"</f>
        <v>#N/A</v>
      </c>
      <c r="B75" s="132">
        <f>【準備】登録!AF119</f>
        <v>69</v>
      </c>
      <c r="C75" s="133" t="e">
        <f>【準備】登録!AI119</f>
        <v>#N/A</v>
      </c>
      <c r="D75" s="269" t="e">
        <f>【準備】登録!AK119</f>
        <v>#N/A</v>
      </c>
      <c r="E75" s="134"/>
      <c r="F75" s="141"/>
      <c r="G75" s="259"/>
      <c r="H75" s="134"/>
      <c r="I75" s="272" t="e">
        <f>【準備】登録!AL119</f>
        <v>#N/A</v>
      </c>
      <c r="J75" s="147" t="e">
        <f>【準備】登録!AN119</f>
        <v>#N/A</v>
      </c>
      <c r="L75" s="236" t="e">
        <f t="shared" si="20"/>
        <v>#N/A</v>
      </c>
      <c r="M75" s="236" t="e">
        <f t="shared" si="20"/>
        <v>#N/A</v>
      </c>
      <c r="P75" s="312">
        <f t="shared" si="21"/>
        <v>69</v>
      </c>
      <c r="Q75" s="312" t="e">
        <f>D75&amp;【準備】登録!AE119&amp;J75</f>
        <v>#N/A</v>
      </c>
      <c r="R75" s="312" t="str">
        <f t="shared" si="22"/>
        <v/>
      </c>
      <c r="S75" s="312" t="str">
        <f t="shared" si="23"/>
        <v/>
      </c>
      <c r="T75" s="312" t="str">
        <f t="shared" si="24"/>
        <v/>
      </c>
      <c r="U75" s="312" t="e">
        <f>【準備】登録!AM119</f>
        <v>#N/A</v>
      </c>
      <c r="V75" s="312" t="e">
        <f>【準備】登録!AJ119</f>
        <v>#N/A</v>
      </c>
    </row>
    <row r="76" spans="1:22" ht="18" customHeight="1">
      <c r="A76" s="9" t="e">
        <f>"第"&amp;【準備】登録!AE120&amp;"節"</f>
        <v>#N/A</v>
      </c>
      <c r="B76" s="132">
        <f>【準備】登録!AF120</f>
        <v>70</v>
      </c>
      <c r="C76" s="133" t="e">
        <f>【準備】登録!AI120</f>
        <v>#N/A</v>
      </c>
      <c r="D76" s="269" t="e">
        <f>【準備】登録!AK120</f>
        <v>#N/A</v>
      </c>
      <c r="E76" s="134"/>
      <c r="F76" s="260"/>
      <c r="G76" s="259"/>
      <c r="H76" s="115"/>
      <c r="I76" s="272" t="e">
        <f>【準備】登録!AL120</f>
        <v>#N/A</v>
      </c>
      <c r="J76" s="147" t="e">
        <f>【準備】登録!AN120</f>
        <v>#N/A</v>
      </c>
      <c r="L76" s="236" t="e">
        <f t="shared" si="20"/>
        <v>#N/A</v>
      </c>
      <c r="M76" s="236" t="e">
        <f t="shared" si="20"/>
        <v>#N/A</v>
      </c>
      <c r="P76" s="312">
        <f t="shared" si="21"/>
        <v>70</v>
      </c>
      <c r="Q76" s="312" t="e">
        <f>D76&amp;【準備】登録!AE120&amp;J76</f>
        <v>#N/A</v>
      </c>
      <c r="R76" s="312" t="str">
        <f t="shared" si="22"/>
        <v/>
      </c>
      <c r="S76" s="312" t="str">
        <f t="shared" si="23"/>
        <v/>
      </c>
      <c r="T76" s="312" t="str">
        <f t="shared" si="24"/>
        <v/>
      </c>
      <c r="U76" s="312" t="e">
        <f>【準備】登録!AM120</f>
        <v>#N/A</v>
      </c>
      <c r="V76" s="312" t="e">
        <f>【準備】登録!AJ120</f>
        <v>#N/A</v>
      </c>
    </row>
    <row r="77" spans="1:22" ht="18" customHeight="1">
      <c r="A77" s="9" t="e">
        <f>"第"&amp;【準備】登録!AE121&amp;"節"</f>
        <v>#N/A</v>
      </c>
      <c r="B77" s="132">
        <f>【準備】登録!AF121</f>
        <v>71</v>
      </c>
      <c r="C77" s="133" t="e">
        <f>【準備】登録!AI121</f>
        <v>#N/A</v>
      </c>
      <c r="D77" s="269" t="e">
        <f>【準備】登録!AK121</f>
        <v>#N/A</v>
      </c>
      <c r="E77" s="134"/>
      <c r="F77" s="260"/>
      <c r="G77" s="135"/>
      <c r="H77" s="134"/>
      <c r="I77" s="272" t="e">
        <f>【準備】登録!AL121</f>
        <v>#N/A</v>
      </c>
      <c r="J77" s="147" t="e">
        <f>【準備】登録!AN121</f>
        <v>#N/A</v>
      </c>
      <c r="L77" s="236" t="e">
        <f t="shared" si="20"/>
        <v>#N/A</v>
      </c>
      <c r="M77" s="236" t="e">
        <f t="shared" si="20"/>
        <v>#N/A</v>
      </c>
      <c r="P77" s="312">
        <f t="shared" si="21"/>
        <v>71</v>
      </c>
      <c r="Q77" s="312" t="e">
        <f>D77&amp;【準備】登録!AE121&amp;J77</f>
        <v>#N/A</v>
      </c>
      <c r="R77" s="312" t="str">
        <f t="shared" si="22"/>
        <v/>
      </c>
      <c r="S77" s="312" t="str">
        <f t="shared" si="23"/>
        <v/>
      </c>
      <c r="T77" s="312" t="str">
        <f t="shared" si="24"/>
        <v/>
      </c>
      <c r="U77" s="312" t="e">
        <f>【準備】登録!AM121</f>
        <v>#N/A</v>
      </c>
      <c r="V77" s="312" t="e">
        <f>【準備】登録!AJ121</f>
        <v>#N/A</v>
      </c>
    </row>
    <row r="78" spans="1:22" ht="18" customHeight="1" thickBot="1">
      <c r="A78" s="9" t="e">
        <f>"第"&amp;【準備】登録!AE122&amp;"節"</f>
        <v>#N/A</v>
      </c>
      <c r="B78" s="136">
        <f>【準備】登録!AF122</f>
        <v>72</v>
      </c>
      <c r="C78" s="137" t="e">
        <f>【準備】登録!AI122</f>
        <v>#N/A</v>
      </c>
      <c r="D78" s="138" t="e">
        <f>【準備】登録!AK122</f>
        <v>#N/A</v>
      </c>
      <c r="E78" s="139"/>
      <c r="F78" s="142"/>
      <c r="G78" s="140"/>
      <c r="H78" s="139"/>
      <c r="I78" s="149" t="e">
        <f>【準備】登録!AL122</f>
        <v>#N/A</v>
      </c>
      <c r="J78" s="148" t="e">
        <f>【準備】登録!AN122</f>
        <v>#N/A</v>
      </c>
      <c r="L78" s="236" t="e">
        <f t="shared" si="20"/>
        <v>#N/A</v>
      </c>
      <c r="M78" s="236" t="e">
        <f t="shared" si="20"/>
        <v>#N/A</v>
      </c>
      <c r="P78" s="312">
        <f t="shared" si="21"/>
        <v>72</v>
      </c>
      <c r="Q78" s="312" t="e">
        <f>D78&amp;【準備】登録!AE122&amp;J78</f>
        <v>#N/A</v>
      </c>
      <c r="R78" s="312" t="str">
        <f t="shared" si="22"/>
        <v/>
      </c>
      <c r="S78" s="312" t="str">
        <f t="shared" si="23"/>
        <v/>
      </c>
      <c r="T78" s="312" t="str">
        <f t="shared" si="24"/>
        <v/>
      </c>
      <c r="U78" s="312" t="e">
        <f>【準備】登録!AM122</f>
        <v>#N/A</v>
      </c>
      <c r="V78" s="312" t="e">
        <f>【準備】登録!AJ122</f>
        <v>#N/A</v>
      </c>
    </row>
    <row r="79" spans="1:22" ht="18" customHeight="1">
      <c r="P79" s="312">
        <f>P7</f>
        <v>1</v>
      </c>
      <c r="Q79" s="312" t="str">
        <f>I7&amp;【準備】登録!AE51&amp;C7</f>
        <v>宮本一1SBC</v>
      </c>
      <c r="R79" s="312">
        <f>IF(G7="","",G7)</f>
        <v>49</v>
      </c>
      <c r="S79" s="312" t="str">
        <f>IF(H7="","",H7)</f>
        <v/>
      </c>
      <c r="T79" s="312" t="str">
        <f>IF(F7="","",F7)</f>
        <v>w</v>
      </c>
      <c r="U79" s="312">
        <f>【準備】登録!AJ51</f>
        <v>180</v>
      </c>
      <c r="V79" s="312">
        <f>【準備】登録!AM51</f>
        <v>180</v>
      </c>
    </row>
    <row r="80" spans="1:22" ht="18" customHeight="1">
      <c r="P80" s="312">
        <f t="shared" ref="P80:P143" si="25">P8</f>
        <v>2</v>
      </c>
      <c r="Q80" s="312" t="str">
        <f>I8&amp;【準備】登録!AE52&amp;C8</f>
        <v>堂園雅也1SBC</v>
      </c>
      <c r="R80" s="312" t="str">
        <f t="shared" ref="R80:R143" si="26">IF(G8="","",G8)</f>
        <v>w</v>
      </c>
      <c r="S80" s="312" t="str">
        <f t="shared" ref="S80:S143" si="27">IF(H8="","",H8)</f>
        <v/>
      </c>
      <c r="T80" s="312">
        <f t="shared" ref="T80:T143" si="28">IF(F8="","",F8)</f>
        <v>52</v>
      </c>
      <c r="U80" s="312">
        <f>【準備】登録!AJ52</f>
        <v>180</v>
      </c>
      <c r="V80" s="312">
        <f>【準備】登録!AM52</f>
        <v>180</v>
      </c>
    </row>
    <row r="81" spans="16:22" ht="18" customHeight="1">
      <c r="P81" s="312">
        <f t="shared" si="25"/>
        <v>3</v>
      </c>
      <c r="Q81" s="312" t="str">
        <f>I9&amp;【準備】登録!AE53&amp;C9</f>
        <v>平井洸志1SBC</v>
      </c>
      <c r="R81" s="312" t="str">
        <f t="shared" si="26"/>
        <v>w</v>
      </c>
      <c r="S81" s="312" t="str">
        <f t="shared" si="27"/>
        <v/>
      </c>
      <c r="T81" s="312">
        <f t="shared" si="28"/>
        <v>129</v>
      </c>
      <c r="U81" s="312">
        <f>【準備】登録!AJ53</f>
        <v>180</v>
      </c>
      <c r="V81" s="312">
        <f>【準備】登録!AM53</f>
        <v>180</v>
      </c>
    </row>
    <row r="82" spans="16:22" ht="18" customHeight="1">
      <c r="P82" s="312">
        <f t="shared" si="25"/>
        <v>4</v>
      </c>
      <c r="Q82" s="312" t="str">
        <f>I10&amp;【準備】登録!AE54&amp;C10</f>
        <v>宮井健太郎1SBC</v>
      </c>
      <c r="R82" s="312" t="str">
        <f t="shared" si="26"/>
        <v>w</v>
      </c>
      <c r="S82" s="312" t="str">
        <f t="shared" si="27"/>
        <v/>
      </c>
      <c r="T82" s="312">
        <f t="shared" si="28"/>
        <v>36</v>
      </c>
      <c r="U82" s="312">
        <f>【準備】登録!AJ54</f>
        <v>180</v>
      </c>
      <c r="V82" s="312">
        <f>【準備】登録!AM54</f>
        <v>180</v>
      </c>
    </row>
    <row r="83" spans="16:22" ht="18" customHeight="1">
      <c r="P83" s="312">
        <f t="shared" si="25"/>
        <v>5</v>
      </c>
      <c r="Q83" s="312" t="str">
        <f>I11&amp;【準備】登録!AE55&amp;C11</f>
        <v>金井健太郎1SBC</v>
      </c>
      <c r="R83" s="312">
        <f t="shared" si="26"/>
        <v>25</v>
      </c>
      <c r="S83" s="312" t="str">
        <f t="shared" si="27"/>
        <v/>
      </c>
      <c r="T83" s="312" t="str">
        <f t="shared" si="28"/>
        <v>w</v>
      </c>
      <c r="U83" s="312">
        <f>【準備】登録!AJ55</f>
        <v>180</v>
      </c>
      <c r="V83" s="312">
        <f>【準備】登録!AM55</f>
        <v>180</v>
      </c>
    </row>
    <row r="84" spans="16:22" ht="18" customHeight="1">
      <c r="P84" s="312">
        <f t="shared" si="25"/>
        <v>6</v>
      </c>
      <c r="Q84" s="312" t="str">
        <f>I12&amp;【準備】登録!AE56&amp;C12</f>
        <v>河地恵里1SBC</v>
      </c>
      <c r="R84" s="312">
        <f t="shared" si="26"/>
        <v>139</v>
      </c>
      <c r="S84" s="312" t="str">
        <f t="shared" si="27"/>
        <v/>
      </c>
      <c r="T84" s="312" t="str">
        <f t="shared" si="28"/>
        <v>w</v>
      </c>
      <c r="U84" s="312">
        <f>【準備】登録!AJ56</f>
        <v>140</v>
      </c>
      <c r="V84" s="312">
        <f>【準備】登録!AM56</f>
        <v>140</v>
      </c>
    </row>
    <row r="85" spans="16:22" ht="18" customHeight="1">
      <c r="P85" s="312">
        <f t="shared" si="25"/>
        <v>7</v>
      </c>
      <c r="Q85" s="312" t="str">
        <f>I13&amp;【準備】登録!AE57&amp;C13</f>
        <v>宮本一1NRC</v>
      </c>
      <c r="R85" s="312">
        <f t="shared" si="26"/>
        <v>111</v>
      </c>
      <c r="S85" s="312" t="str">
        <f t="shared" si="27"/>
        <v/>
      </c>
      <c r="T85" s="312" t="str">
        <f t="shared" si="28"/>
        <v>w</v>
      </c>
      <c r="U85" s="312">
        <f>【準備】登録!AJ57</f>
        <v>180</v>
      </c>
      <c r="V85" s="312">
        <f>【準備】登録!AM57</f>
        <v>180</v>
      </c>
    </row>
    <row r="86" spans="16:22" ht="18" customHeight="1">
      <c r="P86" s="312">
        <f t="shared" si="25"/>
        <v>8</v>
      </c>
      <c r="Q86" s="312" t="str">
        <f>I14&amp;【準備】登録!AE58&amp;C14</f>
        <v>堂園雅也1NRC</v>
      </c>
      <c r="R86" s="312" t="str">
        <f t="shared" si="26"/>
        <v>w</v>
      </c>
      <c r="S86" s="312" t="str">
        <f t="shared" si="27"/>
        <v/>
      </c>
      <c r="T86" s="312">
        <f t="shared" si="28"/>
        <v>172</v>
      </c>
      <c r="U86" s="312">
        <f>【準備】登録!AJ58</f>
        <v>180</v>
      </c>
      <c r="V86" s="312">
        <f>【準備】登録!AM58</f>
        <v>180</v>
      </c>
    </row>
    <row r="87" spans="16:22" ht="18" customHeight="1">
      <c r="P87" s="312">
        <f t="shared" si="25"/>
        <v>9</v>
      </c>
      <c r="Q87" s="312" t="str">
        <f>I15&amp;【準備】登録!AE59&amp;C15</f>
        <v>平井洸志1NRC</v>
      </c>
      <c r="R87" s="312" t="str">
        <f t="shared" si="26"/>
        <v>w</v>
      </c>
      <c r="S87" s="312" t="str">
        <f t="shared" si="27"/>
        <v/>
      </c>
      <c r="T87" s="312">
        <f t="shared" si="28"/>
        <v>49</v>
      </c>
      <c r="U87" s="312">
        <f>【準備】登録!AJ59</f>
        <v>180</v>
      </c>
      <c r="V87" s="312">
        <f>【準備】登録!AM59</f>
        <v>180</v>
      </c>
    </row>
    <row r="88" spans="16:22" ht="18" customHeight="1">
      <c r="P88" s="312">
        <f t="shared" si="25"/>
        <v>10</v>
      </c>
      <c r="Q88" s="312" t="str">
        <f>I16&amp;【準備】登録!AE60&amp;C16</f>
        <v>宮井健太郎1NRC</v>
      </c>
      <c r="R88" s="312">
        <f t="shared" si="26"/>
        <v>147</v>
      </c>
      <c r="S88" s="312" t="str">
        <f t="shared" si="27"/>
        <v/>
      </c>
      <c r="T88" s="312" t="str">
        <f t="shared" si="28"/>
        <v>w</v>
      </c>
      <c r="U88" s="312">
        <f>【準備】登録!AJ60</f>
        <v>180</v>
      </c>
      <c r="V88" s="312">
        <f>【準備】登録!AM60</f>
        <v>180</v>
      </c>
    </row>
    <row r="89" spans="16:22" ht="18" customHeight="1">
      <c r="P89" s="312">
        <f t="shared" si="25"/>
        <v>11</v>
      </c>
      <c r="Q89" s="312" t="str">
        <f>I17&amp;【準備】登録!AE61&amp;C17</f>
        <v>金井健太郎1NRC</v>
      </c>
      <c r="R89" s="312">
        <f t="shared" si="26"/>
        <v>129</v>
      </c>
      <c r="S89" s="312" t="str">
        <f t="shared" si="27"/>
        <v/>
      </c>
      <c r="T89" s="312" t="str">
        <f t="shared" si="28"/>
        <v>w</v>
      </c>
      <c r="U89" s="312">
        <f>【準備】登録!AJ61</f>
        <v>180</v>
      </c>
      <c r="V89" s="312">
        <f>【準備】登録!AM61</f>
        <v>180</v>
      </c>
    </row>
    <row r="90" spans="16:22" ht="18" customHeight="1">
      <c r="P90" s="312">
        <f t="shared" si="25"/>
        <v>12</v>
      </c>
      <c r="Q90" s="312" t="str">
        <f>I18&amp;【準備】登録!AE62&amp;C18</f>
        <v>河地恵里1NRC</v>
      </c>
      <c r="R90" s="312" t="str">
        <f t="shared" si="26"/>
        <v>w</v>
      </c>
      <c r="S90" s="312" t="str">
        <f t="shared" si="27"/>
        <v/>
      </c>
      <c r="T90" s="312">
        <f t="shared" si="28"/>
        <v>100</v>
      </c>
      <c r="U90" s="312">
        <f>【準備】登録!AJ62</f>
        <v>140</v>
      </c>
      <c r="V90" s="312">
        <f>【準備】登録!AM62</f>
        <v>140</v>
      </c>
    </row>
    <row r="91" spans="16:22" ht="18" customHeight="1">
      <c r="P91" s="312">
        <f t="shared" si="25"/>
        <v>13</v>
      </c>
      <c r="Q91" s="312" t="str">
        <f>I19&amp;【準備】登録!AE63&amp;C19</f>
        <v>大橋正寛1NRC</v>
      </c>
      <c r="R91" s="312" t="str">
        <f t="shared" si="26"/>
        <v>w</v>
      </c>
      <c r="S91" s="312" t="str">
        <f t="shared" si="27"/>
        <v/>
      </c>
      <c r="T91" s="312">
        <f t="shared" si="28"/>
        <v>140</v>
      </c>
      <c r="U91" s="312">
        <f>【準備】登録!AJ63</f>
        <v>180</v>
      </c>
      <c r="V91" s="312">
        <f>【準備】登録!AM63</f>
        <v>180</v>
      </c>
    </row>
    <row r="92" spans="16:22" ht="18" customHeight="1">
      <c r="P92" s="312">
        <f t="shared" si="25"/>
        <v>14</v>
      </c>
      <c r="Q92" s="312" t="str">
        <f>I20&amp;【準備】登録!AE64&amp;C20</f>
        <v>長田智紀1NRC</v>
      </c>
      <c r="R92" s="312">
        <f t="shared" si="26"/>
        <v>130</v>
      </c>
      <c r="S92" s="312" t="str">
        <f t="shared" si="27"/>
        <v/>
      </c>
      <c r="T92" s="312" t="str">
        <f t="shared" si="28"/>
        <v>w</v>
      </c>
      <c r="U92" s="312">
        <f>【準備】登録!AJ64</f>
        <v>180</v>
      </c>
      <c r="V92" s="312">
        <f>【準備】登録!AM64</f>
        <v>180</v>
      </c>
    </row>
    <row r="93" spans="16:22" ht="18" customHeight="1">
      <c r="P93" s="312">
        <f t="shared" si="25"/>
        <v>15</v>
      </c>
      <c r="Q93" s="312" t="str">
        <f>I21&amp;【準備】登録!AE65&amp;C21</f>
        <v>西峰久祐1NRC</v>
      </c>
      <c r="R93" s="312" t="str">
        <f t="shared" si="26"/>
        <v>w</v>
      </c>
      <c r="S93" s="312" t="str">
        <f t="shared" si="27"/>
        <v/>
      </c>
      <c r="T93" s="312">
        <f t="shared" si="28"/>
        <v>43</v>
      </c>
      <c r="U93" s="312">
        <f>【準備】登録!AJ65</f>
        <v>180</v>
      </c>
      <c r="V93" s="312">
        <f>【準備】登録!AM65</f>
        <v>180</v>
      </c>
    </row>
    <row r="94" spans="16:22" ht="18" customHeight="1">
      <c r="P94" s="312">
        <f t="shared" si="25"/>
        <v>16</v>
      </c>
      <c r="Q94" s="312" t="str">
        <f>I22&amp;【準備】登録!AE66&amp;C22</f>
        <v>大橋義治1NRC</v>
      </c>
      <c r="R94" s="312" t="str">
        <f t="shared" si="26"/>
        <v>w</v>
      </c>
      <c r="S94" s="312" t="str">
        <f t="shared" si="27"/>
        <v/>
      </c>
      <c r="T94" s="312">
        <f t="shared" si="28"/>
        <v>120</v>
      </c>
      <c r="U94" s="312">
        <f>【準備】登録!AJ66</f>
        <v>180</v>
      </c>
      <c r="V94" s="312">
        <f>【準備】登録!AM66</f>
        <v>180</v>
      </c>
    </row>
    <row r="95" spans="16:22" ht="18" customHeight="1">
      <c r="P95" s="312">
        <f t="shared" si="25"/>
        <v>17</v>
      </c>
      <c r="Q95" s="312" t="str">
        <f>I23&amp;【準備】登録!AE67&amp;C23</f>
        <v>山中康寛1NRC</v>
      </c>
      <c r="R95" s="312">
        <f t="shared" si="26"/>
        <v>159</v>
      </c>
      <c r="S95" s="312" t="str">
        <f t="shared" si="27"/>
        <v/>
      </c>
      <c r="T95" s="312" t="str">
        <f t="shared" si="28"/>
        <v>w</v>
      </c>
      <c r="U95" s="312">
        <f>【準備】登録!AJ67</f>
        <v>180</v>
      </c>
      <c r="V95" s="312">
        <f>【準備】登録!AM67</f>
        <v>180</v>
      </c>
    </row>
    <row r="96" spans="16:22" ht="18" customHeight="1">
      <c r="P96" s="312">
        <f t="shared" si="25"/>
        <v>18</v>
      </c>
      <c r="Q96" s="312" t="str">
        <f>I24&amp;【準備】登録!AE68&amp;C24</f>
        <v>大橋洋子1NRC</v>
      </c>
      <c r="R96" s="312" t="str">
        <f t="shared" si="26"/>
        <v>w</v>
      </c>
      <c r="S96" s="312" t="str">
        <f t="shared" si="27"/>
        <v/>
      </c>
      <c r="T96" s="312">
        <f t="shared" si="28"/>
        <v>59</v>
      </c>
      <c r="U96" s="312">
        <f>【準備】登録!AJ68</f>
        <v>140</v>
      </c>
      <c r="V96" s="312">
        <f>【準備】登録!AM68</f>
        <v>140</v>
      </c>
    </row>
    <row r="97" spans="16:22" ht="18" customHeight="1">
      <c r="P97" s="312">
        <f t="shared" si="25"/>
        <v>19</v>
      </c>
      <c r="Q97" s="312" t="str">
        <f>I25&amp;【準備】登録!AE69&amp;C25</f>
        <v>平井洸志2SBC</v>
      </c>
      <c r="R97" s="312">
        <f t="shared" si="26"/>
        <v>75</v>
      </c>
      <c r="S97" s="312" t="str">
        <f t="shared" si="27"/>
        <v/>
      </c>
      <c r="T97" s="312" t="str">
        <f t="shared" si="28"/>
        <v>w</v>
      </c>
      <c r="U97" s="312">
        <f>【準備】登録!AJ69</f>
        <v>180</v>
      </c>
      <c r="V97" s="312">
        <f>【準備】登録!AM69</f>
        <v>180</v>
      </c>
    </row>
    <row r="98" spans="16:22" ht="18" customHeight="1">
      <c r="P98" s="312">
        <f t="shared" si="25"/>
        <v>20</v>
      </c>
      <c r="Q98" s="312" t="str">
        <f>I26&amp;【準備】登録!AE70&amp;C26</f>
        <v>宮井健太郎2SBC</v>
      </c>
      <c r="R98" s="312">
        <f t="shared" si="26"/>
        <v>77</v>
      </c>
      <c r="S98" s="312" t="str">
        <f t="shared" si="27"/>
        <v/>
      </c>
      <c r="T98" s="312" t="str">
        <f t="shared" si="28"/>
        <v>w</v>
      </c>
      <c r="U98" s="312">
        <f>【準備】登録!AJ70</f>
        <v>180</v>
      </c>
      <c r="V98" s="312">
        <f>【準備】登録!AM70</f>
        <v>180</v>
      </c>
    </row>
    <row r="99" spans="16:22" ht="18" customHeight="1">
      <c r="P99" s="312">
        <f t="shared" si="25"/>
        <v>21</v>
      </c>
      <c r="Q99" s="312" t="str">
        <f>I27&amp;【準備】登録!AE71&amp;C27</f>
        <v>金井健太郎2SBC</v>
      </c>
      <c r="R99" s="312" t="str">
        <f t="shared" si="26"/>
        <v>w</v>
      </c>
      <c r="S99" s="312" t="str">
        <f t="shared" si="27"/>
        <v/>
      </c>
      <c r="T99" s="312">
        <f t="shared" si="28"/>
        <v>51</v>
      </c>
      <c r="U99" s="312">
        <f>【準備】登録!AJ71</f>
        <v>180</v>
      </c>
      <c r="V99" s="312">
        <f>【準備】登録!AM71</f>
        <v>180</v>
      </c>
    </row>
    <row r="100" spans="16:22" ht="18" customHeight="1">
      <c r="P100" s="312">
        <f t="shared" si="25"/>
        <v>22</v>
      </c>
      <c r="Q100" s="312" t="str">
        <f>I28&amp;【準備】登録!AE72&amp;C28</f>
        <v>河地恵里2SBC</v>
      </c>
      <c r="R100" s="312">
        <f t="shared" si="26"/>
        <v>52</v>
      </c>
      <c r="S100" s="312" t="str">
        <f t="shared" si="27"/>
        <v/>
      </c>
      <c r="T100" s="312" t="str">
        <f t="shared" si="28"/>
        <v>w</v>
      </c>
      <c r="U100" s="312">
        <f>【準備】登録!AJ72</f>
        <v>180</v>
      </c>
      <c r="V100" s="312">
        <f>【準備】登録!AM72</f>
        <v>140</v>
      </c>
    </row>
    <row r="101" spans="16:22" ht="18" customHeight="1">
      <c r="P101" s="312">
        <f t="shared" si="25"/>
        <v>23</v>
      </c>
      <c r="Q101" s="312" t="str">
        <f>I29&amp;【準備】登録!AE73&amp;C29</f>
        <v>宮本一2SBC</v>
      </c>
      <c r="R101" s="312" t="str">
        <f t="shared" si="26"/>
        <v>w</v>
      </c>
      <c r="S101" s="312" t="str">
        <f t="shared" si="27"/>
        <v/>
      </c>
      <c r="T101" s="312">
        <f t="shared" si="28"/>
        <v>11</v>
      </c>
      <c r="U101" s="312">
        <f>【準備】登録!AJ73</f>
        <v>140</v>
      </c>
      <c r="V101" s="312">
        <f>【準備】登録!AM73</f>
        <v>180</v>
      </c>
    </row>
    <row r="102" spans="16:22" ht="18" customHeight="1">
      <c r="P102" s="312">
        <f t="shared" si="25"/>
        <v>24</v>
      </c>
      <c r="Q102" s="312" t="str">
        <f>I30&amp;【準備】登録!AE74&amp;C30</f>
        <v>堂園雅也2SBC</v>
      </c>
      <c r="R102" s="312">
        <f t="shared" si="26"/>
        <v>140</v>
      </c>
      <c r="S102" s="312" t="str">
        <f t="shared" si="27"/>
        <v/>
      </c>
      <c r="T102" s="312" t="str">
        <f t="shared" si="28"/>
        <v>w</v>
      </c>
      <c r="U102" s="312">
        <f>【準備】登録!AJ74</f>
        <v>180</v>
      </c>
      <c r="V102" s="312">
        <f>【準備】登録!AM74</f>
        <v>180</v>
      </c>
    </row>
    <row r="103" spans="16:22" ht="18" customHeight="1">
      <c r="P103" s="312">
        <f t="shared" si="25"/>
        <v>25</v>
      </c>
      <c r="Q103" s="312" t="str">
        <f>I31&amp;【準備】登録!AE75&amp;C31</f>
        <v>平井洸志2NRC</v>
      </c>
      <c r="R103" s="312" t="str">
        <f t="shared" si="26"/>
        <v>w</v>
      </c>
      <c r="S103" s="312" t="str">
        <f t="shared" si="27"/>
        <v/>
      </c>
      <c r="T103" s="312">
        <f t="shared" si="28"/>
        <v>86</v>
      </c>
      <c r="U103" s="312">
        <f>【準備】登録!AJ75</f>
        <v>180</v>
      </c>
      <c r="V103" s="312">
        <f>【準備】登録!AM75</f>
        <v>180</v>
      </c>
    </row>
    <row r="104" spans="16:22" ht="18" customHeight="1">
      <c r="P104" s="312">
        <f t="shared" si="25"/>
        <v>26</v>
      </c>
      <c r="Q104" s="312" t="str">
        <f>I32&amp;【準備】登録!AE76&amp;C32</f>
        <v>宮井健太郎2NRC</v>
      </c>
      <c r="R104" s="312">
        <f t="shared" si="26"/>
        <v>156</v>
      </c>
      <c r="S104" s="312" t="str">
        <f t="shared" si="27"/>
        <v/>
      </c>
      <c r="T104" s="312" t="str">
        <f t="shared" si="28"/>
        <v>w</v>
      </c>
      <c r="U104" s="312">
        <f>【準備】登録!AJ76</f>
        <v>180</v>
      </c>
      <c r="V104" s="312">
        <f>【準備】登録!AM76</f>
        <v>180</v>
      </c>
    </row>
    <row r="105" spans="16:22" ht="18" customHeight="1">
      <c r="P105" s="312">
        <f t="shared" si="25"/>
        <v>27</v>
      </c>
      <c r="Q105" s="312" t="str">
        <f>I33&amp;【準備】登録!AE77&amp;C33</f>
        <v>金井健太郎2NRC</v>
      </c>
      <c r="R105" s="312" t="str">
        <f t="shared" si="26"/>
        <v>w</v>
      </c>
      <c r="S105" s="312" t="str">
        <f t="shared" si="27"/>
        <v/>
      </c>
      <c r="T105" s="312">
        <f t="shared" si="28"/>
        <v>0</v>
      </c>
      <c r="U105" s="312">
        <f>【準備】登録!AJ77</f>
        <v>180</v>
      </c>
      <c r="V105" s="312">
        <f>【準備】登録!AM77</f>
        <v>180</v>
      </c>
    </row>
    <row r="106" spans="16:22" ht="18" customHeight="1">
      <c r="P106" s="312">
        <f t="shared" si="25"/>
        <v>28</v>
      </c>
      <c r="Q106" s="312" t="str">
        <f>I34&amp;【準備】登録!AE78&amp;C34</f>
        <v>河地恵里2NRC</v>
      </c>
      <c r="R106" s="312" t="str">
        <f t="shared" si="26"/>
        <v>w</v>
      </c>
      <c r="S106" s="312" t="str">
        <f t="shared" si="27"/>
        <v/>
      </c>
      <c r="T106" s="312">
        <f t="shared" si="28"/>
        <v>18</v>
      </c>
      <c r="U106" s="312">
        <f>【準備】登録!AJ78</f>
        <v>180</v>
      </c>
      <c r="V106" s="312">
        <f>【準備】登録!AM78</f>
        <v>140</v>
      </c>
    </row>
    <row r="107" spans="16:22" ht="18" customHeight="1">
      <c r="P107" s="312">
        <f t="shared" si="25"/>
        <v>29</v>
      </c>
      <c r="Q107" s="312" t="str">
        <f>I35&amp;【準備】登録!AE79&amp;C35</f>
        <v>宮本一2NRC</v>
      </c>
      <c r="R107" s="312">
        <f t="shared" si="26"/>
        <v>148</v>
      </c>
      <c r="S107" s="312" t="str">
        <f t="shared" si="27"/>
        <v/>
      </c>
      <c r="T107" s="312" t="str">
        <f t="shared" si="28"/>
        <v>w</v>
      </c>
      <c r="U107" s="312">
        <f>【準備】登録!AJ79</f>
        <v>180</v>
      </c>
      <c r="V107" s="312">
        <f>【準備】登録!AM79</f>
        <v>180</v>
      </c>
    </row>
    <row r="108" spans="16:22" ht="18" customHeight="1">
      <c r="P108" s="312">
        <f t="shared" si="25"/>
        <v>30</v>
      </c>
      <c r="Q108" s="312" t="str">
        <f>I36&amp;【準備】登録!AE80&amp;C36</f>
        <v>堂園雅也2NRC</v>
      </c>
      <c r="R108" s="312" t="str">
        <f t="shared" si="26"/>
        <v>w</v>
      </c>
      <c r="S108" s="312" t="str">
        <f t="shared" si="27"/>
        <v/>
      </c>
      <c r="T108" s="312">
        <f t="shared" si="28"/>
        <v>40</v>
      </c>
      <c r="U108" s="312">
        <f>【準備】登録!AJ80</f>
        <v>140</v>
      </c>
      <c r="V108" s="312">
        <f>【準備】登録!AM80</f>
        <v>180</v>
      </c>
    </row>
    <row r="109" spans="16:22" ht="18" customHeight="1">
      <c r="P109" s="312">
        <f t="shared" si="25"/>
        <v>31</v>
      </c>
      <c r="Q109" s="312" t="str">
        <f>I37&amp;【準備】登録!AE81&amp;C37</f>
        <v>長田智紀2NRC</v>
      </c>
      <c r="R109" s="312" t="str">
        <f t="shared" si="26"/>
        <v>w</v>
      </c>
      <c r="S109" s="312" t="str">
        <f t="shared" si="27"/>
        <v/>
      </c>
      <c r="T109" s="312">
        <f t="shared" si="28"/>
        <v>145</v>
      </c>
      <c r="U109" s="312">
        <f>【準備】登録!AJ81</f>
        <v>180</v>
      </c>
      <c r="V109" s="312">
        <f>【準備】登録!AM81</f>
        <v>180</v>
      </c>
    </row>
    <row r="110" spans="16:22" ht="18" customHeight="1">
      <c r="P110" s="312">
        <f t="shared" si="25"/>
        <v>32</v>
      </c>
      <c r="Q110" s="312" t="str">
        <f>I38&amp;【準備】登録!AE82&amp;C38</f>
        <v>西峰久祐2NRC</v>
      </c>
      <c r="R110" s="312" t="str">
        <f t="shared" si="26"/>
        <v>w</v>
      </c>
      <c r="S110" s="312" t="str">
        <f t="shared" si="27"/>
        <v/>
      </c>
      <c r="T110" s="312">
        <f t="shared" si="28"/>
        <v>45</v>
      </c>
      <c r="U110" s="312">
        <f>【準備】登録!AJ82</f>
        <v>180</v>
      </c>
      <c r="V110" s="312">
        <f>【準備】登録!AM82</f>
        <v>180</v>
      </c>
    </row>
    <row r="111" spans="16:22" ht="18" customHeight="1">
      <c r="P111" s="312">
        <f t="shared" si="25"/>
        <v>33</v>
      </c>
      <c r="Q111" s="312" t="str">
        <f>I39&amp;【準備】登録!AE83&amp;C39</f>
        <v>大橋義治2NRC</v>
      </c>
      <c r="R111" s="312">
        <f t="shared" si="26"/>
        <v>174</v>
      </c>
      <c r="S111" s="312" t="str">
        <f t="shared" si="27"/>
        <v/>
      </c>
      <c r="T111" s="312" t="str">
        <f t="shared" si="28"/>
        <v>w</v>
      </c>
      <c r="U111" s="312">
        <f>【準備】登録!AJ83</f>
        <v>180</v>
      </c>
      <c r="V111" s="312">
        <f>【準備】登録!AM83</f>
        <v>180</v>
      </c>
    </row>
    <row r="112" spans="16:22" ht="18" customHeight="1">
      <c r="P112" s="312">
        <f t="shared" si="25"/>
        <v>34</v>
      </c>
      <c r="Q112" s="312" t="str">
        <f>I40&amp;【準備】登録!AE84&amp;C40</f>
        <v>山中康寛2NRC</v>
      </c>
      <c r="R112" s="312" t="str">
        <f t="shared" si="26"/>
        <v>w</v>
      </c>
      <c r="S112" s="312" t="str">
        <f t="shared" si="27"/>
        <v/>
      </c>
      <c r="T112" s="312">
        <f t="shared" si="28"/>
        <v>32</v>
      </c>
      <c r="U112" s="312">
        <f>【準備】登録!AJ84</f>
        <v>180</v>
      </c>
      <c r="V112" s="312">
        <f>【準備】登録!AM84</f>
        <v>180</v>
      </c>
    </row>
    <row r="113" spans="16:22" ht="18" customHeight="1">
      <c r="P113" s="312">
        <f t="shared" si="25"/>
        <v>35</v>
      </c>
      <c r="Q113" s="312" t="str">
        <f>I41&amp;【準備】登録!AE85&amp;C41</f>
        <v>大橋洋子2NRC</v>
      </c>
      <c r="R113" s="312">
        <f t="shared" si="26"/>
        <v>115</v>
      </c>
      <c r="S113" s="312" t="str">
        <f t="shared" si="27"/>
        <v/>
      </c>
      <c r="T113" s="312" t="str">
        <f t="shared" si="28"/>
        <v>w</v>
      </c>
      <c r="U113" s="312">
        <f>【準備】登録!AJ85</f>
        <v>180</v>
      </c>
      <c r="V113" s="312">
        <f>【準備】登録!AM85</f>
        <v>140</v>
      </c>
    </row>
    <row r="114" spans="16:22" ht="18" customHeight="1">
      <c r="P114" s="312">
        <f t="shared" si="25"/>
        <v>36</v>
      </c>
      <c r="Q114" s="312" t="str">
        <f>I42&amp;【準備】登録!AE86&amp;C42</f>
        <v>大橋正寛2NRC</v>
      </c>
      <c r="R114" s="312" t="str">
        <f t="shared" si="26"/>
        <v>w</v>
      </c>
      <c r="S114" s="312" t="str">
        <f t="shared" si="27"/>
        <v/>
      </c>
      <c r="T114" s="312">
        <f t="shared" si="28"/>
        <v>45</v>
      </c>
      <c r="U114" s="312">
        <f>【準備】登録!AJ86</f>
        <v>140</v>
      </c>
      <c r="V114" s="312">
        <f>【準備】登録!AM86</f>
        <v>180</v>
      </c>
    </row>
    <row r="115" spans="16:22" ht="18" customHeight="1">
      <c r="P115" s="312">
        <f t="shared" si="25"/>
        <v>37</v>
      </c>
      <c r="Q115" s="312" t="str">
        <f>I43&amp;【準備】登録!AE87&amp;C43</f>
        <v>金井健太郎3SBC</v>
      </c>
      <c r="R115" s="312" t="str">
        <f t="shared" si="26"/>
        <v>w</v>
      </c>
      <c r="S115" s="312" t="str">
        <f t="shared" si="27"/>
        <v/>
      </c>
      <c r="T115" s="312">
        <f t="shared" si="28"/>
        <v>91</v>
      </c>
      <c r="U115" s="312">
        <f>【準備】登録!AJ87</f>
        <v>180</v>
      </c>
      <c r="V115" s="312">
        <f>【準備】登録!AM87</f>
        <v>180</v>
      </c>
    </row>
    <row r="116" spans="16:22" ht="18" customHeight="1">
      <c r="P116" s="312">
        <f t="shared" si="25"/>
        <v>38</v>
      </c>
      <c r="Q116" s="312" t="str">
        <f>I44&amp;【準備】登録!AE88&amp;C44</f>
        <v>河地恵里3SBC</v>
      </c>
      <c r="R116" s="312">
        <f t="shared" si="26"/>
        <v>85</v>
      </c>
      <c r="S116" s="312" t="str">
        <f t="shared" si="27"/>
        <v/>
      </c>
      <c r="T116" s="312" t="str">
        <f t="shared" si="28"/>
        <v>w</v>
      </c>
      <c r="U116" s="312">
        <f>【準備】登録!AJ88</f>
        <v>180</v>
      </c>
      <c r="V116" s="312">
        <f>【準備】登録!AM88</f>
        <v>140</v>
      </c>
    </row>
    <row r="117" spans="16:22" ht="18" customHeight="1">
      <c r="P117" s="312">
        <f t="shared" si="25"/>
        <v>39</v>
      </c>
      <c r="Q117" s="312" t="str">
        <f>I45&amp;【準備】登録!AE89&amp;C45</f>
        <v>宮本一3SBC</v>
      </c>
      <c r="R117" s="312" t="str">
        <f t="shared" si="26"/>
        <v>w</v>
      </c>
      <c r="S117" s="312" t="str">
        <f t="shared" si="27"/>
        <v/>
      </c>
      <c r="T117" s="312">
        <f t="shared" si="28"/>
        <v>3</v>
      </c>
      <c r="U117" s="312">
        <f>【準備】登録!AJ89</f>
        <v>180</v>
      </c>
      <c r="V117" s="312">
        <f>【準備】登録!AM89</f>
        <v>180</v>
      </c>
    </row>
    <row r="118" spans="16:22" ht="18" customHeight="1">
      <c r="P118" s="312">
        <f t="shared" si="25"/>
        <v>40</v>
      </c>
      <c r="Q118" s="312" t="str">
        <f>I46&amp;【準備】登録!AE90&amp;C46</f>
        <v>堂園雅也3SBC</v>
      </c>
      <c r="R118" s="312">
        <f t="shared" si="26"/>
        <v>173</v>
      </c>
      <c r="S118" s="312" t="str">
        <f t="shared" si="27"/>
        <v/>
      </c>
      <c r="T118" s="312" t="str">
        <f t="shared" si="28"/>
        <v>w</v>
      </c>
      <c r="U118" s="312">
        <f>【準備】登録!AJ90</f>
        <v>140</v>
      </c>
      <c r="V118" s="312">
        <f>【準備】登録!AM90</f>
        <v>180</v>
      </c>
    </row>
    <row r="119" spans="16:22" ht="18" customHeight="1">
      <c r="P119" s="312">
        <f t="shared" si="25"/>
        <v>41</v>
      </c>
      <c r="Q119" s="312" t="str">
        <f>I47&amp;【準備】登録!AE91&amp;C47</f>
        <v>平井洸志3SBC</v>
      </c>
      <c r="R119" s="312">
        <f t="shared" si="26"/>
        <v>49</v>
      </c>
      <c r="S119" s="312" t="str">
        <f t="shared" si="27"/>
        <v/>
      </c>
      <c r="T119" s="312" t="str">
        <f t="shared" si="28"/>
        <v>w</v>
      </c>
      <c r="U119" s="312">
        <f>【準備】登録!AJ91</f>
        <v>180</v>
      </c>
      <c r="V119" s="312">
        <f>【準備】登録!AM91</f>
        <v>180</v>
      </c>
    </row>
    <row r="120" spans="16:22" ht="18" customHeight="1">
      <c r="P120" s="312">
        <f t="shared" si="25"/>
        <v>42</v>
      </c>
      <c r="Q120" s="312" t="str">
        <f>I48&amp;【準備】登録!AE92&amp;C48</f>
        <v>宮井健太郎3SBC</v>
      </c>
      <c r="R120" s="312">
        <f t="shared" si="26"/>
        <v>88</v>
      </c>
      <c r="S120" s="312" t="str">
        <f t="shared" si="27"/>
        <v/>
      </c>
      <c r="T120" s="312" t="str">
        <f t="shared" si="28"/>
        <v>w</v>
      </c>
      <c r="U120" s="312">
        <f>【準備】登録!AJ92</f>
        <v>180</v>
      </c>
      <c r="V120" s="312">
        <f>【準備】登録!AM92</f>
        <v>180</v>
      </c>
    </row>
    <row r="121" spans="16:22" ht="18" customHeight="1">
      <c r="P121" s="312">
        <f t="shared" si="25"/>
        <v>43</v>
      </c>
      <c r="Q121" s="312" t="str">
        <f>I49&amp;【準備】登録!AE93&amp;C49</f>
        <v>金井健太郎3NRC</v>
      </c>
      <c r="R121" s="312" t="str">
        <f t="shared" si="26"/>
        <v>w</v>
      </c>
      <c r="S121" s="312" t="str">
        <f t="shared" si="27"/>
        <v/>
      </c>
      <c r="T121" s="312">
        <f t="shared" si="28"/>
        <v>95</v>
      </c>
      <c r="U121" s="312">
        <f>【準備】登録!AJ93</f>
        <v>180</v>
      </c>
      <c r="V121" s="312">
        <f>【準備】登録!AM93</f>
        <v>180</v>
      </c>
    </row>
    <row r="122" spans="16:22" ht="18" customHeight="1">
      <c r="P122" s="312">
        <f t="shared" si="25"/>
        <v>44</v>
      </c>
      <c r="Q122" s="312" t="str">
        <f>I50&amp;【準備】登録!AE94&amp;C50</f>
        <v>河地恵里3NRC</v>
      </c>
      <c r="R122" s="312" t="str">
        <f t="shared" si="26"/>
        <v>w</v>
      </c>
      <c r="S122" s="312" t="str">
        <f t="shared" si="27"/>
        <v/>
      </c>
      <c r="T122" s="312">
        <f t="shared" si="28"/>
        <v>165</v>
      </c>
      <c r="U122" s="312">
        <f>【準備】登録!AJ94</f>
        <v>180</v>
      </c>
      <c r="V122" s="312">
        <f>【準備】登録!AM94</f>
        <v>140</v>
      </c>
    </row>
    <row r="123" spans="16:22" ht="18" customHeight="1">
      <c r="P123" s="312">
        <f t="shared" si="25"/>
        <v>45</v>
      </c>
      <c r="Q123" s="312" t="str">
        <f>I51&amp;【準備】登録!AE95&amp;C51</f>
        <v>宮本一3NRC</v>
      </c>
      <c r="R123" s="312" t="str">
        <f t="shared" si="26"/>
        <v>w</v>
      </c>
      <c r="S123" s="312" t="str">
        <f t="shared" si="27"/>
        <v/>
      </c>
      <c r="T123" s="312">
        <f t="shared" si="28"/>
        <v>56</v>
      </c>
      <c r="U123" s="312">
        <f>【準備】登録!AJ95</f>
        <v>180</v>
      </c>
      <c r="V123" s="312">
        <f>【準備】登録!AM95</f>
        <v>180</v>
      </c>
    </row>
    <row r="124" spans="16:22" ht="18" customHeight="1">
      <c r="P124" s="312">
        <f t="shared" si="25"/>
        <v>46</v>
      </c>
      <c r="Q124" s="312" t="str">
        <f>I52&amp;【準備】登録!AE96&amp;C52</f>
        <v>堂園雅也3NRC</v>
      </c>
      <c r="R124" s="312" t="str">
        <f t="shared" si="26"/>
        <v>w</v>
      </c>
      <c r="S124" s="312" t="str">
        <f t="shared" si="27"/>
        <v/>
      </c>
      <c r="T124" s="312">
        <f t="shared" si="28"/>
        <v>126</v>
      </c>
      <c r="U124" s="312">
        <f>【準備】登録!AJ96</f>
        <v>180</v>
      </c>
      <c r="V124" s="312">
        <f>【準備】登録!AM96</f>
        <v>180</v>
      </c>
    </row>
    <row r="125" spans="16:22" ht="18" customHeight="1">
      <c r="P125" s="312">
        <f t="shared" si="25"/>
        <v>47</v>
      </c>
      <c r="Q125" s="312" t="str">
        <f>I53&amp;【準備】登録!AE97&amp;C53</f>
        <v>平井洸志3NRC</v>
      </c>
      <c r="R125" s="312">
        <f t="shared" si="26"/>
        <v>148</v>
      </c>
      <c r="S125" s="312" t="str">
        <f t="shared" si="27"/>
        <v/>
      </c>
      <c r="T125" s="312" t="str">
        <f t="shared" si="28"/>
        <v>w</v>
      </c>
      <c r="U125" s="312">
        <f>【準備】登録!AJ97</f>
        <v>180</v>
      </c>
      <c r="V125" s="312">
        <f>【準備】登録!AM97</f>
        <v>180</v>
      </c>
    </row>
    <row r="126" spans="16:22" ht="18" customHeight="1">
      <c r="P126" s="312">
        <f t="shared" si="25"/>
        <v>48</v>
      </c>
      <c r="Q126" s="312" t="str">
        <f>I54&amp;【準備】登録!AE98&amp;C54</f>
        <v>宮井健太郎3NRC</v>
      </c>
      <c r="R126" s="312" t="str">
        <f t="shared" si="26"/>
        <v>w</v>
      </c>
      <c r="S126" s="312" t="str">
        <f t="shared" si="27"/>
        <v/>
      </c>
      <c r="T126" s="312">
        <f t="shared" si="28"/>
        <v>78</v>
      </c>
      <c r="U126" s="312">
        <f>【準備】登録!AJ98</f>
        <v>140</v>
      </c>
      <c r="V126" s="312">
        <f>【準備】登録!AM98</f>
        <v>180</v>
      </c>
    </row>
    <row r="127" spans="16:22" ht="18" customHeight="1">
      <c r="P127" s="312">
        <f t="shared" si="25"/>
        <v>49</v>
      </c>
      <c r="Q127" s="312" t="str">
        <f>I55&amp;【準備】登録!AE99&amp;C55</f>
        <v>西峰久祐3NRC</v>
      </c>
      <c r="R127" s="312" t="str">
        <f t="shared" si="26"/>
        <v>w</v>
      </c>
      <c r="S127" s="312">
        <f t="shared" si="27"/>
        <v>109</v>
      </c>
      <c r="T127" s="312">
        <f t="shared" si="28"/>
        <v>42</v>
      </c>
      <c r="U127" s="312">
        <f>【準備】登録!AJ99</f>
        <v>180</v>
      </c>
      <c r="V127" s="312">
        <f>【準備】登録!AM99</f>
        <v>180</v>
      </c>
    </row>
    <row r="128" spans="16:22" ht="18" customHeight="1">
      <c r="P128" s="312">
        <f t="shared" si="25"/>
        <v>50</v>
      </c>
      <c r="Q128" s="312" t="str">
        <f>I56&amp;【準備】登録!AE100&amp;C56</f>
        <v>大橋義治3NRC</v>
      </c>
      <c r="R128" s="312">
        <f t="shared" si="26"/>
        <v>90</v>
      </c>
      <c r="S128" s="312" t="str">
        <f t="shared" si="27"/>
        <v/>
      </c>
      <c r="T128" s="312" t="str">
        <f t="shared" si="28"/>
        <v>w</v>
      </c>
      <c r="U128" s="312">
        <f>【準備】登録!AJ100</f>
        <v>180</v>
      </c>
      <c r="V128" s="312">
        <f>【準備】登録!AM100</f>
        <v>180</v>
      </c>
    </row>
    <row r="129" spans="16:22" ht="18" customHeight="1">
      <c r="P129" s="312">
        <f t="shared" si="25"/>
        <v>51</v>
      </c>
      <c r="Q129" s="312" t="str">
        <f>I57&amp;【準備】登録!AE101&amp;C57</f>
        <v>山中康寛3NRC</v>
      </c>
      <c r="R129" s="312">
        <f t="shared" si="26"/>
        <v>150</v>
      </c>
      <c r="S129" s="312" t="str">
        <f t="shared" si="27"/>
        <v/>
      </c>
      <c r="T129" s="312" t="str">
        <f t="shared" si="28"/>
        <v>w</v>
      </c>
      <c r="U129" s="312">
        <f>【準備】登録!AJ101</f>
        <v>180</v>
      </c>
      <c r="V129" s="312">
        <f>【準備】登録!AM101</f>
        <v>180</v>
      </c>
    </row>
    <row r="130" spans="16:22" ht="18" customHeight="1">
      <c r="P130" s="312">
        <f t="shared" si="25"/>
        <v>52</v>
      </c>
      <c r="Q130" s="312" t="str">
        <f>I58&amp;【準備】登録!AE102&amp;C58</f>
        <v>大橋洋子3NRC</v>
      </c>
      <c r="R130" s="312" t="str">
        <f t="shared" si="26"/>
        <v>w</v>
      </c>
      <c r="S130" s="312" t="str">
        <f t="shared" si="27"/>
        <v/>
      </c>
      <c r="T130" s="312">
        <f t="shared" si="28"/>
        <v>175</v>
      </c>
      <c r="U130" s="312">
        <f>【準備】登録!AJ102</f>
        <v>180</v>
      </c>
      <c r="V130" s="312">
        <f>【準備】登録!AM102</f>
        <v>140</v>
      </c>
    </row>
    <row r="131" spans="16:22" ht="18" customHeight="1">
      <c r="P131" s="312">
        <f t="shared" si="25"/>
        <v>53</v>
      </c>
      <c r="Q131" s="312" t="str">
        <f>I59&amp;【準備】登録!AE103&amp;C59</f>
        <v>大橋正寛3NRC</v>
      </c>
      <c r="R131" s="312">
        <f t="shared" si="26"/>
        <v>58</v>
      </c>
      <c r="S131" s="312" t="str">
        <f t="shared" si="27"/>
        <v/>
      </c>
      <c r="T131" s="312" t="str">
        <f t="shared" si="28"/>
        <v>w</v>
      </c>
      <c r="U131" s="312">
        <f>【準備】登録!AJ103</f>
        <v>180</v>
      </c>
      <c r="V131" s="312">
        <f>【準備】登録!AM103</f>
        <v>180</v>
      </c>
    </row>
    <row r="132" spans="16:22" ht="18" customHeight="1">
      <c r="P132" s="312">
        <f t="shared" si="25"/>
        <v>54</v>
      </c>
      <c r="Q132" s="312" t="str">
        <f>I60&amp;【準備】登録!AE104&amp;C60</f>
        <v>長田智紀3NRC</v>
      </c>
      <c r="R132" s="312" t="str">
        <f t="shared" si="26"/>
        <v>w</v>
      </c>
      <c r="S132" s="312" t="str">
        <f t="shared" si="27"/>
        <v/>
      </c>
      <c r="T132" s="312">
        <f t="shared" si="28"/>
        <v>110</v>
      </c>
      <c r="U132" s="312">
        <f>【準備】登録!AJ104</f>
        <v>140</v>
      </c>
      <c r="V132" s="312">
        <f>【準備】登録!AM104</f>
        <v>180</v>
      </c>
    </row>
    <row r="133" spans="16:22" ht="18" customHeight="1">
      <c r="P133" s="312">
        <f t="shared" si="25"/>
        <v>55</v>
      </c>
      <c r="Q133" s="312" t="e">
        <f>I61&amp;【準備】登録!AE105&amp;C61</f>
        <v>#N/A</v>
      </c>
      <c r="R133" s="312" t="str">
        <f t="shared" si="26"/>
        <v/>
      </c>
      <c r="S133" s="312" t="str">
        <f t="shared" si="27"/>
        <v/>
      </c>
      <c r="T133" s="312" t="str">
        <f t="shared" si="28"/>
        <v/>
      </c>
      <c r="U133" s="312" t="e">
        <f>【準備】登録!AJ105</f>
        <v>#N/A</v>
      </c>
      <c r="V133" s="312" t="e">
        <f>【準備】登録!AM105</f>
        <v>#N/A</v>
      </c>
    </row>
    <row r="134" spans="16:22" ht="18" customHeight="1">
      <c r="P134" s="312">
        <f t="shared" si="25"/>
        <v>56</v>
      </c>
      <c r="Q134" s="312" t="e">
        <f>I62&amp;【準備】登録!AE106&amp;C62</f>
        <v>#N/A</v>
      </c>
      <c r="R134" s="312" t="str">
        <f t="shared" si="26"/>
        <v/>
      </c>
      <c r="S134" s="312" t="str">
        <f t="shared" si="27"/>
        <v/>
      </c>
      <c r="T134" s="312" t="str">
        <f t="shared" si="28"/>
        <v/>
      </c>
      <c r="U134" s="312" t="e">
        <f>【準備】登録!AJ106</f>
        <v>#N/A</v>
      </c>
      <c r="V134" s="312" t="e">
        <f>【準備】登録!AM106</f>
        <v>#N/A</v>
      </c>
    </row>
    <row r="135" spans="16:22" ht="18" customHeight="1">
      <c r="P135" s="312">
        <f t="shared" si="25"/>
        <v>57</v>
      </c>
      <c r="Q135" s="312" t="e">
        <f>I63&amp;【準備】登録!AE107&amp;C63</f>
        <v>#N/A</v>
      </c>
      <c r="R135" s="312" t="str">
        <f t="shared" si="26"/>
        <v/>
      </c>
      <c r="S135" s="312" t="str">
        <f t="shared" si="27"/>
        <v/>
      </c>
      <c r="T135" s="312" t="str">
        <f t="shared" si="28"/>
        <v/>
      </c>
      <c r="U135" s="312" t="e">
        <f>【準備】登録!AJ107</f>
        <v>#N/A</v>
      </c>
      <c r="V135" s="312" t="e">
        <f>【準備】登録!AM107</f>
        <v>#N/A</v>
      </c>
    </row>
    <row r="136" spans="16:22" ht="18" customHeight="1">
      <c r="P136" s="312">
        <f t="shared" si="25"/>
        <v>58</v>
      </c>
      <c r="Q136" s="312" t="e">
        <f>I64&amp;【準備】登録!AE108&amp;C64</f>
        <v>#N/A</v>
      </c>
      <c r="R136" s="312" t="str">
        <f t="shared" si="26"/>
        <v/>
      </c>
      <c r="S136" s="312" t="str">
        <f t="shared" si="27"/>
        <v/>
      </c>
      <c r="T136" s="312" t="str">
        <f t="shared" si="28"/>
        <v/>
      </c>
      <c r="U136" s="312" t="e">
        <f>【準備】登録!AJ108</f>
        <v>#N/A</v>
      </c>
      <c r="V136" s="312" t="e">
        <f>【準備】登録!AM108</f>
        <v>#N/A</v>
      </c>
    </row>
    <row r="137" spans="16:22" ht="18" customHeight="1">
      <c r="P137" s="312">
        <f t="shared" si="25"/>
        <v>59</v>
      </c>
      <c r="Q137" s="312" t="e">
        <f>I65&amp;【準備】登録!AE109&amp;C65</f>
        <v>#N/A</v>
      </c>
      <c r="R137" s="312" t="str">
        <f t="shared" si="26"/>
        <v/>
      </c>
      <c r="S137" s="312" t="str">
        <f t="shared" si="27"/>
        <v/>
      </c>
      <c r="T137" s="312" t="str">
        <f t="shared" si="28"/>
        <v/>
      </c>
      <c r="U137" s="312" t="e">
        <f>【準備】登録!AJ109</f>
        <v>#N/A</v>
      </c>
      <c r="V137" s="312" t="e">
        <f>【準備】登録!AM109</f>
        <v>#N/A</v>
      </c>
    </row>
    <row r="138" spans="16:22" ht="18" customHeight="1">
      <c r="P138" s="312">
        <f t="shared" si="25"/>
        <v>60</v>
      </c>
      <c r="Q138" s="312" t="e">
        <f>I66&amp;【準備】登録!AE110&amp;C66</f>
        <v>#N/A</v>
      </c>
      <c r="R138" s="312" t="str">
        <f t="shared" si="26"/>
        <v/>
      </c>
      <c r="S138" s="312" t="str">
        <f t="shared" si="27"/>
        <v/>
      </c>
      <c r="T138" s="312" t="str">
        <f t="shared" si="28"/>
        <v/>
      </c>
      <c r="U138" s="312" t="e">
        <f>【準備】登録!AJ110</f>
        <v>#N/A</v>
      </c>
      <c r="V138" s="312" t="e">
        <f>【準備】登録!AM110</f>
        <v>#N/A</v>
      </c>
    </row>
    <row r="139" spans="16:22" ht="18" customHeight="1">
      <c r="P139" s="312">
        <f t="shared" si="25"/>
        <v>61</v>
      </c>
      <c r="Q139" s="312" t="e">
        <f>I67&amp;【準備】登録!AE111&amp;C67</f>
        <v>#N/A</v>
      </c>
      <c r="R139" s="312" t="str">
        <f t="shared" si="26"/>
        <v/>
      </c>
      <c r="S139" s="312" t="str">
        <f t="shared" si="27"/>
        <v/>
      </c>
      <c r="T139" s="312" t="str">
        <f t="shared" si="28"/>
        <v/>
      </c>
      <c r="U139" s="312" t="e">
        <f>【準備】登録!AJ111</f>
        <v>#N/A</v>
      </c>
      <c r="V139" s="312" t="e">
        <f>【準備】登録!AM111</f>
        <v>#N/A</v>
      </c>
    </row>
    <row r="140" spans="16:22" ht="18" customHeight="1">
      <c r="P140" s="312">
        <f t="shared" si="25"/>
        <v>62</v>
      </c>
      <c r="Q140" s="312" t="e">
        <f>I68&amp;【準備】登録!AE112&amp;C68</f>
        <v>#N/A</v>
      </c>
      <c r="R140" s="312" t="str">
        <f t="shared" si="26"/>
        <v/>
      </c>
      <c r="S140" s="312" t="str">
        <f t="shared" si="27"/>
        <v/>
      </c>
      <c r="T140" s="312" t="str">
        <f t="shared" si="28"/>
        <v/>
      </c>
      <c r="U140" s="312" t="e">
        <f>【準備】登録!AJ112</f>
        <v>#N/A</v>
      </c>
      <c r="V140" s="312" t="e">
        <f>【準備】登録!AM112</f>
        <v>#N/A</v>
      </c>
    </row>
    <row r="141" spans="16:22" ht="18" customHeight="1">
      <c r="P141" s="312">
        <f t="shared" si="25"/>
        <v>63</v>
      </c>
      <c r="Q141" s="312" t="e">
        <f>I69&amp;【準備】登録!AE113&amp;C69</f>
        <v>#N/A</v>
      </c>
      <c r="R141" s="312" t="str">
        <f t="shared" si="26"/>
        <v/>
      </c>
      <c r="S141" s="312" t="str">
        <f t="shared" si="27"/>
        <v/>
      </c>
      <c r="T141" s="312" t="str">
        <f t="shared" si="28"/>
        <v/>
      </c>
      <c r="U141" s="312" t="e">
        <f>【準備】登録!AJ113</f>
        <v>#N/A</v>
      </c>
      <c r="V141" s="312" t="e">
        <f>【準備】登録!AM113</f>
        <v>#N/A</v>
      </c>
    </row>
    <row r="142" spans="16:22" ht="18" customHeight="1">
      <c r="P142" s="312">
        <f t="shared" si="25"/>
        <v>64</v>
      </c>
      <c r="Q142" s="312" t="e">
        <f>I70&amp;【準備】登録!AE114&amp;C70</f>
        <v>#N/A</v>
      </c>
      <c r="R142" s="312" t="str">
        <f t="shared" si="26"/>
        <v/>
      </c>
      <c r="S142" s="312" t="str">
        <f t="shared" si="27"/>
        <v/>
      </c>
      <c r="T142" s="312" t="str">
        <f t="shared" si="28"/>
        <v/>
      </c>
      <c r="U142" s="312" t="e">
        <f>【準備】登録!AJ114</f>
        <v>#N/A</v>
      </c>
      <c r="V142" s="312" t="e">
        <f>【準備】登録!AM114</f>
        <v>#N/A</v>
      </c>
    </row>
    <row r="143" spans="16:22" ht="18" customHeight="1">
      <c r="P143" s="312">
        <f t="shared" si="25"/>
        <v>65</v>
      </c>
      <c r="Q143" s="312" t="e">
        <f>I71&amp;【準備】登録!AE115&amp;C71</f>
        <v>#N/A</v>
      </c>
      <c r="R143" s="312" t="str">
        <f t="shared" si="26"/>
        <v/>
      </c>
      <c r="S143" s="312" t="str">
        <f t="shared" si="27"/>
        <v/>
      </c>
      <c r="T143" s="312" t="str">
        <f t="shared" si="28"/>
        <v/>
      </c>
      <c r="U143" s="312" t="e">
        <f>【準備】登録!AJ115</f>
        <v>#N/A</v>
      </c>
      <c r="V143" s="312" t="e">
        <f>【準備】登録!AM115</f>
        <v>#N/A</v>
      </c>
    </row>
    <row r="144" spans="16:22" ht="18" customHeight="1">
      <c r="P144" s="312">
        <f t="shared" ref="P144:P150" si="29">P72</f>
        <v>66</v>
      </c>
      <c r="Q144" s="312" t="e">
        <f>I72&amp;【準備】登録!AE116&amp;C72</f>
        <v>#N/A</v>
      </c>
      <c r="R144" s="312" t="str">
        <f t="shared" ref="R144:R150" si="30">IF(G72="","",G72)</f>
        <v/>
      </c>
      <c r="S144" s="312" t="str">
        <f t="shared" ref="S144:S150" si="31">IF(H72="","",H72)</f>
        <v/>
      </c>
      <c r="T144" s="312" t="str">
        <f t="shared" ref="T144:T150" si="32">IF(F72="","",F72)</f>
        <v/>
      </c>
      <c r="U144" s="312" t="e">
        <f>【準備】登録!AJ116</f>
        <v>#N/A</v>
      </c>
      <c r="V144" s="312" t="e">
        <f>【準備】登録!AM116</f>
        <v>#N/A</v>
      </c>
    </row>
    <row r="145" spans="16:22" ht="18" customHeight="1">
      <c r="P145" s="312">
        <f t="shared" si="29"/>
        <v>67</v>
      </c>
      <c r="Q145" s="312" t="e">
        <f>I73&amp;【準備】登録!AE117&amp;C73</f>
        <v>#N/A</v>
      </c>
      <c r="R145" s="312" t="str">
        <f t="shared" si="30"/>
        <v/>
      </c>
      <c r="S145" s="312" t="str">
        <f t="shared" si="31"/>
        <v/>
      </c>
      <c r="T145" s="312" t="str">
        <f t="shared" si="32"/>
        <v/>
      </c>
      <c r="U145" s="312" t="e">
        <f>【準備】登録!AJ117</f>
        <v>#N/A</v>
      </c>
      <c r="V145" s="312" t="e">
        <f>【準備】登録!AM117</f>
        <v>#N/A</v>
      </c>
    </row>
    <row r="146" spans="16:22" ht="18" customHeight="1">
      <c r="P146" s="312">
        <f t="shared" si="29"/>
        <v>68</v>
      </c>
      <c r="Q146" s="312" t="e">
        <f>I74&amp;【準備】登録!AE118&amp;C74</f>
        <v>#N/A</v>
      </c>
      <c r="R146" s="312" t="str">
        <f t="shared" si="30"/>
        <v/>
      </c>
      <c r="S146" s="312" t="str">
        <f t="shared" si="31"/>
        <v/>
      </c>
      <c r="T146" s="312" t="str">
        <f t="shared" si="32"/>
        <v/>
      </c>
      <c r="U146" s="312" t="e">
        <f>【準備】登録!AJ118</f>
        <v>#N/A</v>
      </c>
      <c r="V146" s="312" t="e">
        <f>【準備】登録!AM118</f>
        <v>#N/A</v>
      </c>
    </row>
    <row r="147" spans="16:22" ht="18" customHeight="1">
      <c r="P147" s="312">
        <f t="shared" si="29"/>
        <v>69</v>
      </c>
      <c r="Q147" s="312" t="e">
        <f>I75&amp;【準備】登録!AE119&amp;C75</f>
        <v>#N/A</v>
      </c>
      <c r="R147" s="312" t="str">
        <f t="shared" si="30"/>
        <v/>
      </c>
      <c r="S147" s="312" t="str">
        <f t="shared" si="31"/>
        <v/>
      </c>
      <c r="T147" s="312" t="str">
        <f t="shared" si="32"/>
        <v/>
      </c>
      <c r="U147" s="312" t="e">
        <f>【準備】登録!AJ119</f>
        <v>#N/A</v>
      </c>
      <c r="V147" s="312" t="e">
        <f>【準備】登録!AM119</f>
        <v>#N/A</v>
      </c>
    </row>
    <row r="148" spans="16:22" ht="18" customHeight="1">
      <c r="P148" s="312">
        <f t="shared" si="29"/>
        <v>70</v>
      </c>
      <c r="Q148" s="312" t="e">
        <f>I76&amp;【準備】登録!AE120&amp;C76</f>
        <v>#N/A</v>
      </c>
      <c r="R148" s="312" t="str">
        <f t="shared" si="30"/>
        <v/>
      </c>
      <c r="S148" s="312" t="str">
        <f t="shared" si="31"/>
        <v/>
      </c>
      <c r="T148" s="312" t="str">
        <f t="shared" si="32"/>
        <v/>
      </c>
      <c r="U148" s="312" t="e">
        <f>【準備】登録!AJ120</f>
        <v>#N/A</v>
      </c>
      <c r="V148" s="312" t="e">
        <f>【準備】登録!AM120</f>
        <v>#N/A</v>
      </c>
    </row>
    <row r="149" spans="16:22" ht="18" customHeight="1">
      <c r="P149" s="312">
        <f t="shared" si="29"/>
        <v>71</v>
      </c>
      <c r="Q149" s="312" t="e">
        <f>I77&amp;【準備】登録!AE121&amp;C77</f>
        <v>#N/A</v>
      </c>
      <c r="R149" s="312" t="str">
        <f t="shared" si="30"/>
        <v/>
      </c>
      <c r="S149" s="312" t="str">
        <f t="shared" si="31"/>
        <v/>
      </c>
      <c r="T149" s="312" t="str">
        <f t="shared" si="32"/>
        <v/>
      </c>
      <c r="U149" s="312" t="e">
        <f>【準備】登録!AJ121</f>
        <v>#N/A</v>
      </c>
      <c r="V149" s="312" t="e">
        <f>【準備】登録!AM121</f>
        <v>#N/A</v>
      </c>
    </row>
    <row r="150" spans="16:22" ht="18" customHeight="1">
      <c r="P150" s="312">
        <f t="shared" si="29"/>
        <v>72</v>
      </c>
      <c r="Q150" s="312" t="e">
        <f>I78&amp;【準備】登録!AE122&amp;C78</f>
        <v>#N/A</v>
      </c>
      <c r="R150" s="312" t="str">
        <f t="shared" si="30"/>
        <v/>
      </c>
      <c r="S150" s="312" t="str">
        <f t="shared" si="31"/>
        <v/>
      </c>
      <c r="T150" s="312" t="str">
        <f t="shared" si="32"/>
        <v/>
      </c>
      <c r="U150" s="312" t="e">
        <f>【準備】登録!AJ122</f>
        <v>#N/A</v>
      </c>
      <c r="V150" s="312" t="e">
        <f>【準備】登録!AM122</f>
        <v>#N/A</v>
      </c>
    </row>
  </sheetData>
  <autoFilter ref="A6:J78"/>
  <phoneticPr fontId="49"/>
  <dataValidations count="1">
    <dataValidation imeMode="off" allowBlank="1" showInputMessage="1" showErrorMessage="1" sqref="E7:H78"/>
  </dataValidations>
  <printOptions horizontalCentered="1" verticalCentered="1"/>
  <pageMargins left="0.59027777777777779" right="0.59027777777777779" top="0.98402777777777772" bottom="0.98402777777777772" header="0.51111111111111107" footer="0.51111111111111107"/>
  <pageSetup paperSize="9" firstPageNumber="4294963191" orientation="portrait" horizontalDpi="4294967294" r:id="rId1"/>
  <headerFooter alignWithMargins="0"/>
  <rowBreaks count="1" manualBreakCount="1">
    <brk id="46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43"/>
  <sheetViews>
    <sheetView topLeftCell="C1" workbookViewId="0">
      <selection activeCell="Z40" sqref="Z40:AA40"/>
    </sheetView>
  </sheetViews>
  <sheetFormatPr defaultColWidth="3.6640625" defaultRowHeight="13.2"/>
  <cols>
    <col min="1" max="2" width="0" style="8" hidden="1" customWidth="1"/>
    <col min="3" max="3" width="3.6640625" style="8"/>
    <col min="4" max="5" width="2.77734375" style="169" customWidth="1"/>
    <col min="6" max="7" width="4" style="169" customWidth="1"/>
    <col min="8" max="8" width="5.109375" style="202" hidden="1" customWidth="1"/>
    <col min="9" max="14" width="2.88671875" style="169" customWidth="1"/>
    <col min="15" max="16" width="3" style="169" customWidth="1"/>
    <col min="17" max="18" width="2.88671875" style="202" hidden="1" customWidth="1"/>
    <col min="19" max="19" width="6.109375" style="169" customWidth="1"/>
    <col min="20" max="20" width="6.109375" style="169" hidden="1" customWidth="1"/>
    <col min="21" max="21" width="6" style="202" hidden="1" customWidth="1"/>
    <col min="22" max="22" width="3" style="169" customWidth="1"/>
    <col min="23" max="23" width="2" style="8" customWidth="1"/>
    <col min="24" max="25" width="3.6640625" style="8" customWidth="1"/>
    <col min="26" max="27" width="2.77734375" style="169" customWidth="1"/>
    <col min="28" max="29" width="4" style="169" customWidth="1"/>
    <col min="30" max="30" width="3.6640625" style="202" hidden="1" customWidth="1"/>
    <col min="31" max="36" width="2.88671875" style="169" customWidth="1"/>
    <col min="37" max="38" width="3" style="169" customWidth="1"/>
    <col min="39" max="40" width="2.88671875" style="202" hidden="1" customWidth="1"/>
    <col min="41" max="41" width="6.109375" style="169" customWidth="1"/>
    <col min="42" max="42" width="6.109375" style="169" hidden="1" customWidth="1"/>
    <col min="43" max="43" width="6" style="202" hidden="1" customWidth="1"/>
    <col min="44" max="44" width="3" style="169" customWidth="1"/>
    <col min="45" max="45" width="2" style="8" customWidth="1"/>
    <col min="46" max="47" width="3.6640625" style="8" hidden="1" customWidth="1"/>
    <col min="48" max="49" width="2.77734375" style="171" customWidth="1"/>
    <col min="50" max="51" width="4" style="171" customWidth="1"/>
    <col min="52" max="52" width="3.6640625" style="225" hidden="1" customWidth="1"/>
    <col min="53" max="58" width="2.88671875" style="169" customWidth="1"/>
    <col min="59" max="60" width="3" style="171" customWidth="1"/>
    <col min="61" max="62" width="2.88671875" style="225" hidden="1" customWidth="1"/>
    <col min="63" max="63" width="6.109375" style="171" customWidth="1"/>
    <col min="64" max="64" width="6.109375" style="169" hidden="1" customWidth="1"/>
    <col min="65" max="65" width="6" style="202" hidden="1" customWidth="1"/>
    <col min="66" max="66" width="3" style="171" customWidth="1"/>
    <col min="67" max="67" width="3.6640625" style="8" bestFit="1"/>
    <col min="68" max="16384" width="3.6640625" style="8"/>
  </cols>
  <sheetData>
    <row r="1" spans="1:66" ht="16.2">
      <c r="D1" s="164" t="str">
        <f>【結果】個人成績表!A1</f>
        <v>第8回　神奈滋対抗戦　　　(奈良；キングスポット)</v>
      </c>
      <c r="E1" s="164"/>
      <c r="F1" s="164"/>
      <c r="G1" s="164"/>
      <c r="H1" s="172"/>
      <c r="I1" s="164"/>
      <c r="J1" s="164"/>
      <c r="K1" s="164"/>
      <c r="L1" s="164"/>
      <c r="M1" s="164"/>
      <c r="N1" s="164"/>
      <c r="O1" s="164"/>
      <c r="P1" s="164"/>
      <c r="Q1" s="172"/>
      <c r="R1" s="172"/>
      <c r="S1" s="164"/>
      <c r="T1" s="164"/>
      <c r="U1" s="172"/>
      <c r="V1" s="164"/>
      <c r="W1" s="11"/>
      <c r="Z1" s="164"/>
      <c r="AA1" s="164"/>
      <c r="AB1" s="164"/>
      <c r="AC1" s="164"/>
      <c r="AD1" s="172"/>
      <c r="AE1" s="164"/>
      <c r="AF1" s="164"/>
      <c r="AG1" s="164"/>
      <c r="AH1" s="164"/>
      <c r="AI1" s="164"/>
      <c r="AJ1" s="164"/>
      <c r="AK1" s="164"/>
      <c r="AL1" s="164"/>
      <c r="AM1" s="172"/>
      <c r="AN1" s="172"/>
      <c r="AO1" s="164"/>
      <c r="AP1" s="164"/>
      <c r="AQ1" s="172"/>
      <c r="AR1" s="164"/>
      <c r="AS1" s="11"/>
      <c r="AV1" s="164"/>
      <c r="AW1" s="164"/>
      <c r="AX1" s="164"/>
      <c r="AY1" s="164"/>
      <c r="AZ1" s="172"/>
      <c r="BA1" s="164"/>
      <c r="BB1" s="164"/>
      <c r="BC1" s="164"/>
      <c r="BD1" s="164"/>
      <c r="BE1" s="164"/>
      <c r="BF1" s="164"/>
      <c r="BG1" s="164"/>
      <c r="BH1" s="164"/>
      <c r="BI1" s="172"/>
      <c r="BJ1" s="172"/>
      <c r="BK1" s="164"/>
      <c r="BL1" s="164"/>
      <c r="BM1" s="172"/>
      <c r="BN1" s="164"/>
    </row>
    <row r="2" spans="1:66">
      <c r="D2" s="173"/>
      <c r="E2" s="173"/>
      <c r="F2" s="173"/>
      <c r="G2" s="173"/>
      <c r="H2" s="174"/>
      <c r="I2" s="173"/>
      <c r="J2" s="173"/>
      <c r="K2" s="173"/>
      <c r="L2" s="173"/>
      <c r="M2" s="173"/>
      <c r="N2" s="173"/>
      <c r="O2" s="173"/>
      <c r="P2" s="173"/>
      <c r="Q2" s="174"/>
      <c r="R2" s="174"/>
      <c r="S2" s="173"/>
      <c r="T2" s="173"/>
      <c r="U2" s="174"/>
      <c r="V2" s="173"/>
      <c r="W2" s="13"/>
      <c r="Z2" s="173"/>
      <c r="AA2" s="173"/>
      <c r="AB2" s="173"/>
      <c r="AC2" s="173"/>
      <c r="AD2" s="174"/>
      <c r="AE2" s="173"/>
      <c r="AF2" s="173"/>
      <c r="AG2" s="173"/>
      <c r="AH2" s="173"/>
      <c r="AI2" s="173"/>
      <c r="AJ2" s="173"/>
      <c r="AK2" s="173"/>
      <c r="AL2" s="173"/>
      <c r="AM2" s="174"/>
      <c r="AN2" s="174"/>
      <c r="AO2" s="173"/>
      <c r="AP2" s="173"/>
      <c r="AQ2" s="174"/>
      <c r="AR2" s="173"/>
      <c r="AS2" s="13"/>
      <c r="AV2" s="208"/>
      <c r="AW2" s="208"/>
      <c r="AX2" s="208"/>
      <c r="AY2" s="208"/>
      <c r="AZ2" s="209"/>
      <c r="BA2" s="173"/>
      <c r="BB2" s="173"/>
      <c r="BC2" s="173"/>
      <c r="BD2" s="173"/>
      <c r="BE2" s="173"/>
      <c r="BF2" s="173"/>
      <c r="BG2" s="444">
        <f>【準備】登録!D4</f>
        <v>44493</v>
      </c>
      <c r="BH2" s="445"/>
      <c r="BI2" s="445"/>
      <c r="BJ2" s="445"/>
      <c r="BK2" s="445"/>
      <c r="BL2" s="445"/>
      <c r="BM2" s="445"/>
      <c r="BN2" s="445"/>
    </row>
    <row r="3" spans="1:66" s="7" customFormat="1" ht="12">
      <c r="D3" s="307">
        <v>1</v>
      </c>
      <c r="E3" s="308" t="s">
        <v>333</v>
      </c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Z3" s="307">
        <v>2</v>
      </c>
      <c r="AA3" s="308" t="s">
        <v>334</v>
      </c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V3" s="307">
        <v>3</v>
      </c>
      <c r="AW3" s="308" t="s">
        <v>335</v>
      </c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</row>
    <row r="4" spans="1:66" s="7" customFormat="1" ht="12">
      <c r="D4" s="417">
        <f>【準備】登録!D9</f>
        <v>1</v>
      </c>
      <c r="E4" s="418"/>
      <c r="F4" s="409" t="s">
        <v>64</v>
      </c>
      <c r="G4" s="410"/>
      <c r="H4" s="175" t="s">
        <v>46</v>
      </c>
      <c r="I4" s="176" t="str">
        <f>$D$5</f>
        <v>HRC</v>
      </c>
      <c r="J4" s="177"/>
      <c r="K4" s="178" t="str">
        <f>$D$6</f>
        <v>SBC</v>
      </c>
      <c r="L4" s="177"/>
      <c r="M4" s="178" t="str">
        <f>$D$7</f>
        <v>NRC</v>
      </c>
      <c r="N4" s="179"/>
      <c r="O4" s="177" t="s">
        <v>21</v>
      </c>
      <c r="P4" s="180" t="s">
        <v>47</v>
      </c>
      <c r="Q4" s="401" t="s">
        <v>48</v>
      </c>
      <c r="R4" s="402"/>
      <c r="S4" s="180" t="s">
        <v>48</v>
      </c>
      <c r="T4" s="181" t="s">
        <v>65</v>
      </c>
      <c r="U4" s="181" t="s">
        <v>59</v>
      </c>
      <c r="V4" s="182" t="s">
        <v>49</v>
      </c>
      <c r="Z4" s="417">
        <v>1</v>
      </c>
      <c r="AA4" s="418"/>
      <c r="AB4" s="409" t="s">
        <v>64</v>
      </c>
      <c r="AC4" s="410"/>
      <c r="AD4" s="175" t="str">
        <f>$H$4</f>
        <v>持点</v>
      </c>
      <c r="AE4" s="176" t="str">
        <f>$D$5</f>
        <v>HRC</v>
      </c>
      <c r="AF4" s="177"/>
      <c r="AG4" s="178" t="str">
        <f>$D$6</f>
        <v>SBC</v>
      </c>
      <c r="AH4" s="177"/>
      <c r="AI4" s="178" t="str">
        <f>$D$7</f>
        <v>NRC</v>
      </c>
      <c r="AJ4" s="179"/>
      <c r="AK4" s="177" t="s">
        <v>21</v>
      </c>
      <c r="AL4" s="180" t="s">
        <v>47</v>
      </c>
      <c r="AM4" s="401" t="s">
        <v>48</v>
      </c>
      <c r="AN4" s="402"/>
      <c r="AO4" s="203" t="s">
        <v>48</v>
      </c>
      <c r="AP4" s="181" t="s">
        <v>65</v>
      </c>
      <c r="AQ4" s="181" t="s">
        <v>59</v>
      </c>
      <c r="AR4" s="182" t="s">
        <v>49</v>
      </c>
      <c r="AV4" s="417">
        <v>1</v>
      </c>
      <c r="AW4" s="418"/>
      <c r="AX4" s="409" t="s">
        <v>64</v>
      </c>
      <c r="AY4" s="410"/>
      <c r="AZ4" s="210" t="str">
        <f>$H$4</f>
        <v>持点</v>
      </c>
      <c r="BA4" s="176" t="str">
        <f>$D$5</f>
        <v>HRC</v>
      </c>
      <c r="BB4" s="177"/>
      <c r="BC4" s="178" t="str">
        <f>$D$6</f>
        <v>SBC</v>
      </c>
      <c r="BD4" s="177"/>
      <c r="BE4" s="178" t="str">
        <f>$D$7</f>
        <v>NRC</v>
      </c>
      <c r="BF4" s="179"/>
      <c r="BG4" s="200" t="s">
        <v>21</v>
      </c>
      <c r="BH4" s="211" t="s">
        <v>47</v>
      </c>
      <c r="BI4" s="401" t="s">
        <v>48</v>
      </c>
      <c r="BJ4" s="402"/>
      <c r="BK4" s="211" t="s">
        <v>48</v>
      </c>
      <c r="BL4" s="181" t="s">
        <v>65</v>
      </c>
      <c r="BM4" s="181" t="s">
        <v>59</v>
      </c>
      <c r="BN4" s="212" t="s">
        <v>49</v>
      </c>
    </row>
    <row r="5" spans="1:66" s="7" customFormat="1" ht="12">
      <c r="A5" s="7">
        <v>3</v>
      </c>
      <c r="B5" s="7">
        <v>1</v>
      </c>
      <c r="D5" s="419" t="str">
        <f>IF(【準備】登録!$B$11="","",【準備】登録!$B$11)</f>
        <v>HRC</v>
      </c>
      <c r="E5" s="420"/>
      <c r="F5" s="411" t="str">
        <f>VLOOKUP(VALUE(A5&amp;B5),【準備】登録!$AI$5:$AL$28,3,FALSE)</f>
        <v>宮本一</v>
      </c>
      <c r="G5" s="412"/>
      <c r="H5" s="183">
        <f>VLOOKUP(F5,【準備】登録!$AK$4:$AL$27,2,FALSE)</f>
        <v>180</v>
      </c>
      <c r="I5" s="430"/>
      <c r="J5" s="431"/>
      <c r="K5" s="423">
        <f>IF(ISERROR(VLOOKUP($F5&amp;$D$3&amp;K$4,【進行】結果入力表!$Q$7:$V$150,2,FALSE)),"",VLOOKUP($F5&amp;$D$3&amp;K$4,【進行】結果入力表!$Q$7:$V$150,2,FALSE))</f>
        <v>49</v>
      </c>
      <c r="L5" s="432"/>
      <c r="M5" s="423">
        <f>IF(ISERROR(VLOOKUP($F5&amp;$D$3&amp;M$4,【進行】結果入力表!$Q$7:$V$150,2,FALSE)),"",VLOOKUP($F5&amp;$D$3&amp;M$4,【進行】結果入力表!$Q$7:$V$150,2,FALSE))</f>
        <v>111</v>
      </c>
      <c r="N5" s="424"/>
      <c r="O5" s="184">
        <f>IF(M5="","",COUNTIF(I5:N5,"w"))</f>
        <v>0</v>
      </c>
      <c r="P5" s="185">
        <f>IF(M5="","",COUNT(K5,M5))</f>
        <v>2</v>
      </c>
      <c r="Q5" s="403">
        <f>SUM(I5:N5)+O5*H5</f>
        <v>160</v>
      </c>
      <c r="R5" s="404"/>
      <c r="S5" s="185">
        <f>IF(M5="","",Q5/H5*180)</f>
        <v>160</v>
      </c>
      <c r="T5" s="186">
        <f>IF(I6="w",180,I6/H5*180)+IF(I7="w",180,I7/H5*180)</f>
        <v>360</v>
      </c>
      <c r="U5" s="186">
        <f>O5*10000000+S5*O10004*10000000+S5*1000-T5</f>
        <v>159640</v>
      </c>
      <c r="V5" s="187">
        <f>IF(M5="","",RANK(U5:U7,U5:U7,0))</f>
        <v>3</v>
      </c>
      <c r="X5" s="7">
        <v>3</v>
      </c>
      <c r="Y5" s="7">
        <v>3</v>
      </c>
      <c r="Z5" s="419" t="str">
        <f>IF(【準備】登録!$B$11="","",【準備】登録!$B$11)</f>
        <v>HRC</v>
      </c>
      <c r="AA5" s="420"/>
      <c r="AB5" s="411" t="str">
        <f>VLOOKUP(VALUE(X5&amp;Y5),【準備】登録!$AI$5:$AL$28,3,FALSE)</f>
        <v>平井洸志</v>
      </c>
      <c r="AC5" s="412"/>
      <c r="AD5" s="183">
        <f>VLOOKUP(AB5,【準備】登録!$AK$4:$AL$27,2,FALSE)</f>
        <v>180</v>
      </c>
      <c r="AE5" s="430"/>
      <c r="AF5" s="431"/>
      <c r="AG5" s="423">
        <f>IF(ISERROR(VLOOKUP($AB5&amp;$Z$3&amp;AG$4,【進行】結果入力表!$Q$7:$V$150,2,FALSE)),"",VLOOKUP($AB5&amp;$Z$3&amp;AG$4,【進行】結果入力表!$Q$7:$V$150,2,FALSE))</f>
        <v>75</v>
      </c>
      <c r="AH5" s="432"/>
      <c r="AI5" s="423" t="str">
        <f>IF(ISERROR(VLOOKUP($AB5&amp;$Z$3&amp;AI$4,【進行】結果入力表!$Q$7:$V$150,2,FALSE)),"",VLOOKUP($AB5&amp;$Z$3&amp;AI$4,【進行】結果入力表!$Q$7:$V$150,2,FALSE))</f>
        <v>w</v>
      </c>
      <c r="AJ5" s="424"/>
      <c r="AK5" s="184">
        <f>IF(AI5="","",COUNTIF(AE5:AJ5,"w"))</f>
        <v>1</v>
      </c>
      <c r="AL5" s="185">
        <f>IF(AI5="","",COUNT(AG5,AI5))</f>
        <v>1</v>
      </c>
      <c r="AM5" s="403">
        <f>SUM(AE5:AJ5)+AK5*AD5</f>
        <v>255</v>
      </c>
      <c r="AN5" s="404"/>
      <c r="AO5" s="207">
        <f>IF(AI5="","",AM5/AD5*180)</f>
        <v>255</v>
      </c>
      <c r="AP5" s="186">
        <f>IF(AE6="w",180,AE6/AD5*180)+IF(AE7="w",180,AE7/AD5*180)</f>
        <v>266</v>
      </c>
      <c r="AQ5" s="186">
        <f>AK5*10000000+AO5*AK10004*10000000+AO5*1000-AP5</f>
        <v>10254734</v>
      </c>
      <c r="AR5" s="187">
        <f>IF(AI5="","",RANK(AQ5:AQ7,AQ5:AQ7,0))</f>
        <v>2</v>
      </c>
      <c r="AT5" s="7">
        <v>3</v>
      </c>
      <c r="AU5" s="7">
        <v>5</v>
      </c>
      <c r="AV5" s="419" t="str">
        <f>IF(【準備】登録!$B$11="","",【準備】登録!$B$11)</f>
        <v>HRC</v>
      </c>
      <c r="AW5" s="420"/>
      <c r="AX5" s="411" t="str">
        <f>VLOOKUP(VALUE(AT5&amp;AU5),【準備】登録!$AI$5:$AL$28,3,FALSE)</f>
        <v>金井健太郎</v>
      </c>
      <c r="AY5" s="412"/>
      <c r="AZ5" s="183">
        <f>VLOOKUP(AX5,【準備】登録!$AK$4:$AL$27,2,FALSE)</f>
        <v>180</v>
      </c>
      <c r="BA5" s="430"/>
      <c r="BB5" s="431"/>
      <c r="BC5" s="423" t="str">
        <f>IF(ISERROR(VLOOKUP($AX5&amp;$AV$3&amp;BC$4,【進行】結果入力表!$Q$7:$V$150,2,FALSE)),"",VLOOKUP($AX5&amp;$AV$3&amp;BC$4,【進行】結果入力表!$Q$7:$V$150,2,FALSE))</f>
        <v>w</v>
      </c>
      <c r="BD5" s="432"/>
      <c r="BE5" s="423" t="str">
        <f>IF(ISERROR(VLOOKUP($AX5&amp;$AV$3&amp;BE$4,【進行】結果入力表!$Q$7:$V$150,2,FALSE)),"",VLOOKUP($AX5&amp;$AV$3&amp;BE$4,【進行】結果入力表!$Q$7:$V$150,2,FALSE))</f>
        <v>w</v>
      </c>
      <c r="BF5" s="424"/>
      <c r="BG5" s="213">
        <f>IF(BE5="","",COUNTIF(BA5:BF5,"w"))</f>
        <v>2</v>
      </c>
      <c r="BH5" s="214">
        <f>IF(BE5="","",COUNT(BC5,BE5))</f>
        <v>0</v>
      </c>
      <c r="BI5" s="403">
        <f>SUM(BA5:BF5)+BG5*AZ5</f>
        <v>360</v>
      </c>
      <c r="BJ5" s="404"/>
      <c r="BK5" s="215">
        <f>IF(BE5="","",BI5/AZ5*180)</f>
        <v>360</v>
      </c>
      <c r="BL5" s="186">
        <f>IF(BA6="w",180,BA6/AZ5*180)+IF(BA7="w",180,BA7/AZ5*180)</f>
        <v>186</v>
      </c>
      <c r="BM5" s="186">
        <f>BG5*10000000+BK5*BG10004*10000000+BK5*1000-BL5</f>
        <v>20359814</v>
      </c>
      <c r="BN5" s="239">
        <f>IF(BE5="","",RANK(BM5:BM7,BM5:BM7,0))</f>
        <v>1</v>
      </c>
    </row>
    <row r="6" spans="1:66" s="7" customFormat="1" ht="12">
      <c r="A6" s="7">
        <v>2</v>
      </c>
      <c r="B6" s="7">
        <v>1</v>
      </c>
      <c r="D6" s="421" t="str">
        <f>IF(【準備】登録!$B$12="","",【準備】登録!$B$12)</f>
        <v>SBC</v>
      </c>
      <c r="E6" s="422"/>
      <c r="F6" s="413" t="str">
        <f>VLOOKUP(VALUE(A6&amp;B6),【準備】登録!$AI$5:$AL$28,3,FALSE)</f>
        <v>大橋正寛</v>
      </c>
      <c r="G6" s="414"/>
      <c r="H6" s="188">
        <f>VLOOKUP(F6,【準備】登録!$AK$4:$AL$27,2,FALSE)</f>
        <v>180</v>
      </c>
      <c r="I6" s="435" t="str">
        <f>IF(ISERROR(VLOOKUP($F6&amp;$D$3&amp;I$4,【進行】結果入力表!$Q$7:$V$150,2,FALSE)),"",VLOOKUP($F6&amp;$D$3&amp;I$4,【進行】結果入力表!$Q$7:$V$150,2,FALSE))</f>
        <v>w</v>
      </c>
      <c r="J6" s="436"/>
      <c r="K6" s="437"/>
      <c r="L6" s="438"/>
      <c r="M6" s="439" t="str">
        <f>IF(ISERROR(VLOOKUP($F6&amp;$D$3&amp;M$4,【進行】結果入力表!$Q$7:$V$150,2,FALSE)),"",VLOOKUP($F6&amp;$D$3&amp;M$4,【進行】結果入力表!$Q$7:$V$150,2,FALSE))</f>
        <v>w</v>
      </c>
      <c r="N6" s="440"/>
      <c r="O6" s="189">
        <f>IF(M5="","",COUNTIF(I6:N6,"w"))</f>
        <v>2</v>
      </c>
      <c r="P6" s="190">
        <f>IF(M5="","",COUNT(I6,M6))</f>
        <v>0</v>
      </c>
      <c r="Q6" s="405">
        <f>SUM(I6:N6)+O6*H6</f>
        <v>360</v>
      </c>
      <c r="R6" s="406"/>
      <c r="S6" s="190">
        <f>IF(M5="","",Q6/H6*180)</f>
        <v>360</v>
      </c>
      <c r="T6" s="191">
        <f>IF(K5="w",180,K5/H6*180)+IF(K7="w",180,K7/H6*180)</f>
        <v>189</v>
      </c>
      <c r="U6" s="191">
        <f>O6*10000000+S6*O10005*10000000+S6*1000-T6</f>
        <v>20359811</v>
      </c>
      <c r="V6" s="192">
        <f>IF(M5="","",RANK(U5:U7,U5:U7,0))</f>
        <v>1</v>
      </c>
      <c r="X6" s="7">
        <v>2</v>
      </c>
      <c r="Y6" s="7">
        <v>2</v>
      </c>
      <c r="Z6" s="421" t="str">
        <f>IF(【準備】登録!$B$12="","",【準備】登録!$B$12)</f>
        <v>SBC</v>
      </c>
      <c r="AA6" s="422"/>
      <c r="AB6" s="413" t="str">
        <f>VLOOKUP(VALUE(X6&amp;Y6),【準備】登録!$AI$5:$AL$28,3,FALSE)</f>
        <v>長田智紀</v>
      </c>
      <c r="AC6" s="414"/>
      <c r="AD6" s="188">
        <f>VLOOKUP(AB6,【準備】登録!$AK$4:$AL$27,2,FALSE)</f>
        <v>180</v>
      </c>
      <c r="AE6" s="435" t="str">
        <f>IF(ISERROR(VLOOKUP($AB6&amp;$Z$3&amp;AE$4,【進行】結果入力表!$Q$7:$V$150,2,FALSE)),"",VLOOKUP($AB6&amp;$Z$3&amp;AE$4,【進行】結果入力表!$Q$7:$V$150,2,FALSE))</f>
        <v>w</v>
      </c>
      <c r="AF6" s="436"/>
      <c r="AG6" s="437"/>
      <c r="AH6" s="438"/>
      <c r="AI6" s="439" t="str">
        <f>IF(ISERROR(VLOOKUP($AB6&amp;$Z$3&amp;AI$4,【進行】結果入力表!$Q$7:$V$150,2,FALSE)),"",VLOOKUP($AB6&amp;$Z$3&amp;AI$4,【進行】結果入力表!$Q$7:$V$150,2,FALSE))</f>
        <v>w</v>
      </c>
      <c r="AJ6" s="440"/>
      <c r="AK6" s="189">
        <f>IF(AI5="","",COUNTIF(AE6:AJ6,"w"))</f>
        <v>2</v>
      </c>
      <c r="AL6" s="190">
        <f>IF(AI5="","",COUNT(AE6,AI6))</f>
        <v>0</v>
      </c>
      <c r="AM6" s="405">
        <f>SUM(AE6:AJ6)+AK6*AD6</f>
        <v>360</v>
      </c>
      <c r="AN6" s="406"/>
      <c r="AO6" s="204">
        <f>IF(AI5="","",AM6/AD6*180)</f>
        <v>360</v>
      </c>
      <c r="AP6" s="191">
        <f>IF(AG5="w",180,AG5/AD6*180)+IF(AG7="w",180,AG7/AD6*180)</f>
        <v>220</v>
      </c>
      <c r="AQ6" s="191">
        <f>AK6*10000000+AO6*AK10005*10000000+AO6*1000-AP6</f>
        <v>20359780</v>
      </c>
      <c r="AR6" s="192">
        <f>IF(AI5="","",RANK(AQ5:AQ7,AQ5:AQ7,0))</f>
        <v>1</v>
      </c>
      <c r="AT6" s="7">
        <v>2</v>
      </c>
      <c r="AU6" s="7">
        <v>3</v>
      </c>
      <c r="AV6" s="421" t="str">
        <f>IF(【準備】登録!$B$12="","",【準備】登録!$B$12)</f>
        <v>SBC</v>
      </c>
      <c r="AW6" s="422"/>
      <c r="AX6" s="413" t="str">
        <f>VLOOKUP(VALUE(AT6&amp;AU6),【準備】登録!$AI$5:$AL$28,3,FALSE)</f>
        <v>西峰久祐</v>
      </c>
      <c r="AY6" s="414"/>
      <c r="AZ6" s="188">
        <f>VLOOKUP(AX6,【準備】登録!$AK$4:$AL$27,2,FALSE)</f>
        <v>180</v>
      </c>
      <c r="BA6" s="435">
        <f>IF(ISERROR(VLOOKUP($AX6&amp;$AV$3&amp;BA$4,【進行】結果入力表!$Q$7:$V$150,2,FALSE)),"",VLOOKUP($AX6&amp;$AV$3&amp;BA$4,【進行】結果入力表!$Q$7:$V$150,2,FALSE))</f>
        <v>91</v>
      </c>
      <c r="BB6" s="436"/>
      <c r="BC6" s="437"/>
      <c r="BD6" s="438"/>
      <c r="BE6" s="439" t="str">
        <f>IF(ISERROR(VLOOKUP($AX6&amp;$AV$3&amp;BE$4,【進行】結果入力表!$Q$7:$V$150,2,FALSE)),"",VLOOKUP($AX6&amp;$AV$3&amp;BE$4,【進行】結果入力表!$Q$7:$V$150,2,FALSE))</f>
        <v>w</v>
      </c>
      <c r="BF6" s="440"/>
      <c r="BG6" s="216">
        <f>IF(BE5="","",COUNTIF(BA6:BF6,"w"))</f>
        <v>1</v>
      </c>
      <c r="BH6" s="217">
        <f>IF(BE5="","",COUNT(BA6,BE6))</f>
        <v>1</v>
      </c>
      <c r="BI6" s="405">
        <f>SUM(BA6:BF6)+BG6*AZ6</f>
        <v>271</v>
      </c>
      <c r="BJ6" s="406"/>
      <c r="BK6" s="218">
        <f>IF(BE5="","",BI6/AZ6*180)</f>
        <v>271</v>
      </c>
      <c r="BL6" s="191">
        <f>IF(BC5="w",180,BC5/AZ6*180)+IF(BC7="w",180,BC7/AZ6*180)</f>
        <v>222</v>
      </c>
      <c r="BM6" s="191">
        <f>BG6*10000000+BK6*BG10005*10000000+BK6*1000-BL6</f>
        <v>10270778</v>
      </c>
      <c r="BN6" s="240">
        <f>IF(BE5="","",RANK(BM5:BM7,BM5:BM7,0))</f>
        <v>2</v>
      </c>
    </row>
    <row r="7" spans="1:66" s="7" customFormat="1" ht="12">
      <c r="A7" s="7">
        <v>1</v>
      </c>
      <c r="B7" s="7">
        <v>1</v>
      </c>
      <c r="D7" s="407" t="str">
        <f>IF(【準備】登録!$B$13="","",【準備】登録!$B$13)</f>
        <v>NRC</v>
      </c>
      <c r="E7" s="408"/>
      <c r="F7" s="415" t="str">
        <f>VLOOKUP(VALUE(A7&amp;B7),【準備】登録!$AI$5:$AL$28,3,FALSE)</f>
        <v>吉向翔平</v>
      </c>
      <c r="G7" s="416"/>
      <c r="H7" s="193">
        <f>VLOOKUP(F7,【準備】登録!$AK$4:$AL$27,2,FALSE)</f>
        <v>180</v>
      </c>
      <c r="I7" s="425" t="str">
        <f>IF(ISERROR(VLOOKUP($F7&amp;$D$3&amp;I$4,【進行】結果入力表!$Q$7:$V$150,2,FALSE)),"",VLOOKUP($F7&amp;$D$3&amp;I$4,【進行】結果入力表!$Q$7:$V$150,2,FALSE))</f>
        <v>w</v>
      </c>
      <c r="J7" s="426"/>
      <c r="K7" s="427">
        <f>IF(ISERROR(VLOOKUP($F7&amp;$D$3&amp;K$4,【進行】結果入力表!$Q$7:$V$150,2,FALSE)),"",VLOOKUP($F7&amp;$D$3&amp;K$4,【進行】結果入力表!$Q$7:$V$150,2,FALSE))</f>
        <v>140</v>
      </c>
      <c r="L7" s="426"/>
      <c r="M7" s="428"/>
      <c r="N7" s="429"/>
      <c r="O7" s="194">
        <f>IF(M5="","",COUNTIF(I7:N7,"w"))</f>
        <v>1</v>
      </c>
      <c r="P7" s="195">
        <f>IF(M5="","",COUNT(I7,K7))</f>
        <v>1</v>
      </c>
      <c r="Q7" s="433">
        <f>SUM(I7:N7)+O7*H7</f>
        <v>320</v>
      </c>
      <c r="R7" s="434"/>
      <c r="S7" s="195">
        <f>IF(M5="","",Q7/H7*180)</f>
        <v>320</v>
      </c>
      <c r="T7" s="196">
        <f>IF(M5="w",180,M5/H7*180)+IF(M6="w",180,M6/H7*180)</f>
        <v>291</v>
      </c>
      <c r="U7" s="196">
        <f>O7*10000000+S7*O10006*10000000+S7*1000-T7</f>
        <v>10319709</v>
      </c>
      <c r="V7" s="197">
        <f>IF(M5="","",RANK(U5:U7,U5:U7,0))</f>
        <v>2</v>
      </c>
      <c r="X7" s="7">
        <v>1</v>
      </c>
      <c r="Y7" s="7">
        <v>1</v>
      </c>
      <c r="Z7" s="407" t="str">
        <f>IF(【準備】登録!$B$13="","",【準備】登録!$B$13)</f>
        <v>NRC</v>
      </c>
      <c r="AA7" s="408"/>
      <c r="AB7" s="415" t="str">
        <f>VLOOKUP(VALUE(X7&amp;Y7),【準備】登録!$AI$5:$AL$28,3,FALSE)</f>
        <v>吉向翔平</v>
      </c>
      <c r="AC7" s="416"/>
      <c r="AD7" s="193">
        <f>VLOOKUP(AB7,【準備】登録!$AK$4:$AL$27,2,FALSE)</f>
        <v>180</v>
      </c>
      <c r="AE7" s="425">
        <f>IF(ISERROR(VLOOKUP($AB7&amp;$Z$3&amp;AE$4,【進行】結果入力表!$Q$7:$V$150,2,FALSE)),"",VLOOKUP($AB7&amp;$Z$3&amp;AE$4,【進行】結果入力表!$Q$7:$V$150,2,FALSE))</f>
        <v>86</v>
      </c>
      <c r="AF7" s="426"/>
      <c r="AG7" s="427">
        <f>IF(ISERROR(VLOOKUP($AB7&amp;$Z$3&amp;AG$4,【進行】結果入力表!$Q$7:$V$150,2,FALSE)),"",VLOOKUP($AB7&amp;$Z$3&amp;AG$4,【進行】結果入力表!$Q$7:$V$150,2,FALSE))</f>
        <v>145</v>
      </c>
      <c r="AH7" s="426"/>
      <c r="AI7" s="428"/>
      <c r="AJ7" s="429"/>
      <c r="AK7" s="194">
        <f>IF(AI5="","",COUNTIF(AE7:AJ7,"w"))</f>
        <v>0</v>
      </c>
      <c r="AL7" s="195">
        <f>IF(AI5="","",COUNT(AE7,AG7))</f>
        <v>2</v>
      </c>
      <c r="AM7" s="433">
        <f>SUM(AE7:AJ7)+AK7*AD7</f>
        <v>231</v>
      </c>
      <c r="AN7" s="434"/>
      <c r="AO7" s="205">
        <f>IF(AI5="","",AM7/AD7*180)</f>
        <v>231.00000000000003</v>
      </c>
      <c r="AP7" s="196">
        <f>IF(AI5="w",180,AI5/AD7*180)+IF(AI6="w",180,AI6/AD7*180)</f>
        <v>360</v>
      </c>
      <c r="AQ7" s="196">
        <f>AK7*10000000+AO7*AK10006*10000000+AO7*1000-AP7</f>
        <v>230640.00000000003</v>
      </c>
      <c r="AR7" s="197">
        <f>IF(AI5="","",RANK(AQ5:AQ7,AQ5:AQ7,0))</f>
        <v>3</v>
      </c>
      <c r="AT7" s="7">
        <v>1</v>
      </c>
      <c r="AU7" s="7">
        <v>1</v>
      </c>
      <c r="AV7" s="407" t="str">
        <f>IF(【準備】登録!$B$13="","",【準備】登録!$B$13)</f>
        <v>NRC</v>
      </c>
      <c r="AW7" s="408"/>
      <c r="AX7" s="415" t="str">
        <f>VLOOKUP(VALUE(AT7&amp;AU7),【準備】登録!$AI$5:$AL$28,3,FALSE)</f>
        <v>吉向翔平</v>
      </c>
      <c r="AY7" s="416"/>
      <c r="AZ7" s="193">
        <f>VLOOKUP(AX7,【準備】登録!$AK$4:$AL$27,2,FALSE)</f>
        <v>180</v>
      </c>
      <c r="BA7" s="425">
        <f>IF(ISERROR(VLOOKUP($AX7&amp;$AV$3&amp;BA$4,【進行】結果入力表!$Q$7:$V$150,2,FALSE)),"",VLOOKUP($AX7&amp;$AV$3&amp;BA$4,【進行】結果入力表!$Q$7:$V$150,2,FALSE))</f>
        <v>95</v>
      </c>
      <c r="BB7" s="426"/>
      <c r="BC7" s="427">
        <f>IF(ISERROR(VLOOKUP($AX7&amp;$AV$3&amp;BC$4,【進行】結果入力表!$Q$7:$V$150,2,FALSE)),"",VLOOKUP($AX7&amp;$AV$3&amp;BC$4,【進行】結果入力表!$Q$7:$V$150,2,FALSE))</f>
        <v>42</v>
      </c>
      <c r="BD7" s="426"/>
      <c r="BE7" s="428"/>
      <c r="BF7" s="429"/>
      <c r="BG7" s="219">
        <f>IF(BE5="","",COUNTIF(BA7:BF7,"w"))</f>
        <v>0</v>
      </c>
      <c r="BH7" s="220">
        <f>IF(BE5="","",COUNT(BA7,BC7))</f>
        <v>2</v>
      </c>
      <c r="BI7" s="433">
        <f>SUM(BA7:BF7)+BG7*AZ7</f>
        <v>137</v>
      </c>
      <c r="BJ7" s="434"/>
      <c r="BK7" s="221">
        <f>IF(BE5="","",BI7/AZ7*180)</f>
        <v>137</v>
      </c>
      <c r="BL7" s="196">
        <f>IF(BE5="w",180,BE5/AZ7*180)+IF(BE6="w",180,BE6/AZ7*180)</f>
        <v>360</v>
      </c>
      <c r="BM7" s="196">
        <f>BG7*10000000+BK7*BG10006*10000000+BK7*1000-BL7</f>
        <v>136640</v>
      </c>
      <c r="BN7" s="241">
        <f>IF(BE5="","",RANK(BM5:BM7,BM5:BM7,0))</f>
        <v>3</v>
      </c>
    </row>
    <row r="8" spans="1:66" s="7" customFormat="1" ht="8.25" customHeight="1">
      <c r="D8" s="198"/>
      <c r="E8" s="198"/>
      <c r="F8" s="198"/>
      <c r="G8" s="198"/>
      <c r="H8" s="199"/>
      <c r="I8" s="198"/>
      <c r="J8" s="198"/>
      <c r="K8" s="198"/>
      <c r="L8" s="198"/>
      <c r="M8" s="198"/>
      <c r="N8" s="198"/>
      <c r="O8" s="198"/>
      <c r="P8" s="198"/>
      <c r="Q8" s="199"/>
      <c r="R8" s="199"/>
      <c r="S8" s="198"/>
      <c r="T8" s="198"/>
      <c r="U8" s="199"/>
      <c r="V8" s="198"/>
      <c r="Z8" s="198"/>
      <c r="AA8" s="198"/>
      <c r="AB8" s="198"/>
      <c r="AC8" s="198"/>
      <c r="AD8" s="199"/>
      <c r="AE8" s="198"/>
      <c r="AF8" s="198"/>
      <c r="AG8" s="198"/>
      <c r="AH8" s="198"/>
      <c r="AI8" s="198"/>
      <c r="AJ8" s="198"/>
      <c r="AK8" s="198"/>
      <c r="AL8" s="198"/>
      <c r="AM8" s="199"/>
      <c r="AN8" s="199"/>
      <c r="AO8" s="206"/>
      <c r="AP8" s="198"/>
      <c r="AQ8" s="199"/>
      <c r="AR8" s="198"/>
      <c r="AV8" s="198"/>
      <c r="AW8" s="198"/>
      <c r="AX8" s="198"/>
      <c r="AY8" s="198"/>
      <c r="AZ8" s="223"/>
      <c r="BA8" s="198"/>
      <c r="BB8" s="198"/>
      <c r="BC8" s="198"/>
      <c r="BD8" s="198"/>
      <c r="BE8" s="198"/>
      <c r="BF8" s="198"/>
      <c r="BG8" s="222"/>
      <c r="BH8" s="222"/>
      <c r="BI8" s="223"/>
      <c r="BJ8" s="223"/>
      <c r="BK8" s="222"/>
      <c r="BL8" s="198"/>
      <c r="BM8" s="199"/>
      <c r="BN8" s="242"/>
    </row>
    <row r="9" spans="1:66" s="7" customFormat="1" ht="12">
      <c r="D9" s="417">
        <v>2</v>
      </c>
      <c r="E9" s="418"/>
      <c r="F9" s="409" t="s">
        <v>64</v>
      </c>
      <c r="G9" s="410"/>
      <c r="H9" s="175" t="str">
        <f>$H$4</f>
        <v>持点</v>
      </c>
      <c r="I9" s="176" t="str">
        <f>$D$5</f>
        <v>HRC</v>
      </c>
      <c r="J9" s="177"/>
      <c r="K9" s="178" t="str">
        <f>$D$6</f>
        <v>SBC</v>
      </c>
      <c r="L9" s="177"/>
      <c r="M9" s="178" t="str">
        <f>$D$7</f>
        <v>NRC</v>
      </c>
      <c r="N9" s="179"/>
      <c r="O9" s="177" t="s">
        <v>21</v>
      </c>
      <c r="P9" s="180" t="s">
        <v>47</v>
      </c>
      <c r="Q9" s="401" t="s">
        <v>48</v>
      </c>
      <c r="R9" s="402"/>
      <c r="S9" s="180" t="s">
        <v>48</v>
      </c>
      <c r="T9" s="181" t="s">
        <v>65</v>
      </c>
      <c r="U9" s="181" t="s">
        <v>59</v>
      </c>
      <c r="V9" s="182" t="s">
        <v>49</v>
      </c>
      <c r="Z9" s="417">
        <v>2</v>
      </c>
      <c r="AA9" s="418"/>
      <c r="AB9" s="409" t="s">
        <v>64</v>
      </c>
      <c r="AC9" s="410"/>
      <c r="AD9" s="175" t="str">
        <f>$H$4</f>
        <v>持点</v>
      </c>
      <c r="AE9" s="176" t="str">
        <f>$D$5</f>
        <v>HRC</v>
      </c>
      <c r="AF9" s="177"/>
      <c r="AG9" s="178" t="str">
        <f>$D$6</f>
        <v>SBC</v>
      </c>
      <c r="AH9" s="177"/>
      <c r="AI9" s="178" t="str">
        <f>$D$7</f>
        <v>NRC</v>
      </c>
      <c r="AJ9" s="179"/>
      <c r="AK9" s="177" t="s">
        <v>21</v>
      </c>
      <c r="AL9" s="180" t="s">
        <v>47</v>
      </c>
      <c r="AM9" s="401" t="s">
        <v>48</v>
      </c>
      <c r="AN9" s="402"/>
      <c r="AO9" s="203" t="s">
        <v>48</v>
      </c>
      <c r="AP9" s="181" t="s">
        <v>65</v>
      </c>
      <c r="AQ9" s="181" t="s">
        <v>59</v>
      </c>
      <c r="AR9" s="182" t="s">
        <v>49</v>
      </c>
      <c r="AV9" s="417">
        <v>2</v>
      </c>
      <c r="AW9" s="418"/>
      <c r="AX9" s="409" t="s">
        <v>64</v>
      </c>
      <c r="AY9" s="410"/>
      <c r="AZ9" s="210" t="str">
        <f>$H$4</f>
        <v>持点</v>
      </c>
      <c r="BA9" s="176" t="str">
        <f>$D$5</f>
        <v>HRC</v>
      </c>
      <c r="BB9" s="177"/>
      <c r="BC9" s="178" t="str">
        <f>$D$6</f>
        <v>SBC</v>
      </c>
      <c r="BD9" s="177"/>
      <c r="BE9" s="178" t="str">
        <f>$D$7</f>
        <v>NRC</v>
      </c>
      <c r="BF9" s="179"/>
      <c r="BG9" s="200" t="s">
        <v>21</v>
      </c>
      <c r="BH9" s="211" t="s">
        <v>47</v>
      </c>
      <c r="BI9" s="401" t="s">
        <v>48</v>
      </c>
      <c r="BJ9" s="402"/>
      <c r="BK9" s="211" t="s">
        <v>48</v>
      </c>
      <c r="BL9" s="181" t="s">
        <v>65</v>
      </c>
      <c r="BM9" s="181" t="s">
        <v>59</v>
      </c>
      <c r="BN9" s="212" t="s">
        <v>49</v>
      </c>
    </row>
    <row r="10" spans="1:66" s="7" customFormat="1" ht="12">
      <c r="A10" s="7">
        <v>3</v>
      </c>
      <c r="B10" s="7">
        <v>2</v>
      </c>
      <c r="D10" s="419" t="str">
        <f>$D$5</f>
        <v>HRC</v>
      </c>
      <c r="E10" s="420"/>
      <c r="F10" s="411" t="str">
        <f>VLOOKUP(VALUE($A10&amp;$D9),【準備】登録!$AI$5:$AL$28,3,FALSE)</f>
        <v>堂園雅也</v>
      </c>
      <c r="G10" s="412"/>
      <c r="H10" s="183">
        <f>VLOOKUP(F10,【準備】登録!$AK$4:$AL$27,2,FALSE)</f>
        <v>180</v>
      </c>
      <c r="I10" s="430"/>
      <c r="J10" s="431"/>
      <c r="K10" s="423" t="str">
        <f>IF(ISERROR(VLOOKUP($F10&amp;$D$3&amp;K$4,【進行】結果入力表!$Q$7:$V$150,2,FALSE)),"",VLOOKUP($F10&amp;$D$3&amp;K$4,【進行】結果入力表!$Q$7:$V$150,2,FALSE))</f>
        <v>w</v>
      </c>
      <c r="L10" s="432"/>
      <c r="M10" s="423" t="str">
        <f>IF(ISERROR(VLOOKUP($F10&amp;$D$3&amp;M$4,【進行】結果入力表!$Q$7:$V$150,2,FALSE)),"",VLOOKUP($F10&amp;$D$3&amp;M$4,【進行】結果入力表!$Q$7:$V$150,2,FALSE))</f>
        <v>w</v>
      </c>
      <c r="N10" s="424"/>
      <c r="O10" s="184">
        <f>IF(M10="","",COUNTIF(I10:N10,"w"))</f>
        <v>2</v>
      </c>
      <c r="P10" s="185">
        <f>IF(M10="","",COUNT(K10,M10))</f>
        <v>0</v>
      </c>
      <c r="Q10" s="403">
        <f>SUM(I10:N10)+O10*H10</f>
        <v>360</v>
      </c>
      <c r="R10" s="404"/>
      <c r="S10" s="185">
        <f>IF(M10="","",Q10/H10*180)</f>
        <v>360</v>
      </c>
      <c r="T10" s="186">
        <f>IF(I11="w",180,I11/H10*180)+IF(I12="w",180,I12/H10*180)</f>
        <v>224</v>
      </c>
      <c r="U10" s="186">
        <f>O10*10000000+S10*O10009*10000000+S10*1000-T10</f>
        <v>20359776</v>
      </c>
      <c r="V10" s="187">
        <f>IF(M10="","",RANK(U10:U12,U10:U12,0))</f>
        <v>1</v>
      </c>
      <c r="X10" s="7">
        <v>3</v>
      </c>
      <c r="Y10" s="7">
        <v>4</v>
      </c>
      <c r="Z10" s="419" t="str">
        <f>$D$5</f>
        <v>HRC</v>
      </c>
      <c r="AA10" s="420"/>
      <c r="AB10" s="411" t="str">
        <f>VLOOKUP(VALUE(X10&amp;Y10),【準備】登録!$AI$5:$AL$28,3,FALSE)</f>
        <v>宮井健太郎</v>
      </c>
      <c r="AC10" s="412"/>
      <c r="AD10" s="183">
        <f>VLOOKUP(AB10,【準備】登録!$AK$4:$AL$27,2,FALSE)</f>
        <v>180</v>
      </c>
      <c r="AE10" s="430"/>
      <c r="AF10" s="431"/>
      <c r="AG10" s="423">
        <f>IF(ISERROR(VLOOKUP($AB10&amp;$Z$3&amp;AG$4,【進行】結果入力表!$Q$7:$V$150,2,FALSE)),"",VLOOKUP($AB10&amp;$Z$3&amp;AG$4,【進行】結果入力表!$Q$7:$V$150,2,FALSE))</f>
        <v>77</v>
      </c>
      <c r="AH10" s="432"/>
      <c r="AI10" s="423">
        <f>IF(ISERROR(VLOOKUP($AB10&amp;$Z$3&amp;AI$4,【進行】結果入力表!$Q$7:$V$150,2,FALSE)),"",VLOOKUP($AB10&amp;$Z$3&amp;AI$4,【進行】結果入力表!$Q$7:$V$150,2,FALSE))</f>
        <v>156</v>
      </c>
      <c r="AJ10" s="424"/>
      <c r="AK10" s="184">
        <f>IF(AI10="","",COUNTIF(AE10:AJ10,"w"))</f>
        <v>0</v>
      </c>
      <c r="AL10" s="185">
        <f>IF(AI10="","",COUNT(AG10,AI10))</f>
        <v>2</v>
      </c>
      <c r="AM10" s="403">
        <f>SUM(AE10:AJ10)+AK10*AD10</f>
        <v>233</v>
      </c>
      <c r="AN10" s="404"/>
      <c r="AO10" s="207">
        <f>IF(AI10="","",AM10/AD10*180)</f>
        <v>233</v>
      </c>
      <c r="AP10" s="186">
        <f>IF(AE11="w",180,AE11/AD10*180)+IF(AE12="w",180,AE12/AD10*180)</f>
        <v>360</v>
      </c>
      <c r="AQ10" s="234">
        <f>AK10*10000000+AO10*AK10009*10000000+AO10*1000-AP10</f>
        <v>232640</v>
      </c>
      <c r="AR10" s="187">
        <f>IF(AI10="","",RANK(AQ10:AQ12,AQ10:AQ12,0))</f>
        <v>3</v>
      </c>
      <c r="AT10" s="7">
        <v>3</v>
      </c>
      <c r="AU10" s="313">
        <f>IF(【準備】登録!U6=5,1,6)</f>
        <v>6</v>
      </c>
      <c r="AV10" s="419" t="str">
        <f>$D$5</f>
        <v>HRC</v>
      </c>
      <c r="AW10" s="420"/>
      <c r="AX10" s="411" t="str">
        <f>VLOOKUP(VALUE(AT10&amp;AU10),【準備】登録!$AI$5:$AL$28,3,FALSE)</f>
        <v>河地恵里</v>
      </c>
      <c r="AY10" s="412"/>
      <c r="AZ10" s="183">
        <f>VLOOKUP(AX10,【準備】登録!$AK$4:$AL$27,2,FALSE)</f>
        <v>140</v>
      </c>
      <c r="BA10" s="430"/>
      <c r="BB10" s="431"/>
      <c r="BC10" s="423">
        <f>IF(ISERROR(VLOOKUP($AX10&amp;$AV$3&amp;BC$4,【進行】結果入力表!$Q$7:$V$150,2,FALSE)),"",VLOOKUP($AX10&amp;$AV$3&amp;BC$4,【進行】結果入力表!$Q$7:$V$150,2,FALSE))</f>
        <v>85</v>
      </c>
      <c r="BD10" s="432"/>
      <c r="BE10" s="423" t="str">
        <f>IF(ISERROR(VLOOKUP($AX10&amp;$AV$3&amp;BE$4,【進行】結果入力表!$Q$7:$V$150,2,FALSE)),"",VLOOKUP($AX10&amp;$AV$3&amp;BE$4,【進行】結果入力表!$Q$7:$V$150,2,FALSE))</f>
        <v>w</v>
      </c>
      <c r="BF10" s="424"/>
      <c r="BG10" s="213">
        <f>IF(BE10="","",COUNTIF(BA10:BF10,"w"))</f>
        <v>1</v>
      </c>
      <c r="BH10" s="214">
        <f>IF(BE10="","",COUNT(BC10,BE10))</f>
        <v>1</v>
      </c>
      <c r="BI10" s="403">
        <f>SUM(BA10:BF10)+BG10*AZ10</f>
        <v>225</v>
      </c>
      <c r="BJ10" s="404"/>
      <c r="BK10" s="265">
        <f>IF(BE10="","",BI10/AZ10*180)</f>
        <v>289.28571428571428</v>
      </c>
      <c r="BL10" s="186">
        <f>IF(BA11="w",180,BA11/AZ10*180)+IF(BA12="w",180,BA12/AZ10*180)</f>
        <v>392.14285714285711</v>
      </c>
      <c r="BM10" s="186">
        <f>BG10*10000000+BK10*BG10009*10000000+BK10*1000-BL10</f>
        <v>10288893.571428571</v>
      </c>
      <c r="BN10" s="239">
        <f>IF(BE10="","",RANK(BM10:BM12,BM10:BM12,0))</f>
        <v>2</v>
      </c>
    </row>
    <row r="11" spans="1:66" s="7" customFormat="1" ht="12">
      <c r="A11" s="7">
        <v>2</v>
      </c>
      <c r="B11" s="7">
        <v>2</v>
      </c>
      <c r="D11" s="421" t="str">
        <f>$D$6</f>
        <v>SBC</v>
      </c>
      <c r="E11" s="422"/>
      <c r="F11" s="413" t="str">
        <f>VLOOKUP(VALUE($A11&amp;$D9),【準備】登録!$AI$5:$AL$28,3,FALSE)</f>
        <v>長田智紀</v>
      </c>
      <c r="G11" s="414"/>
      <c r="H11" s="188">
        <f>VLOOKUP(F11,【準備】登録!$AK$4:$AL$27,2,FALSE)</f>
        <v>180</v>
      </c>
      <c r="I11" s="435">
        <f>IF(ISERROR(VLOOKUP($F11&amp;$D$3&amp;I$4,【進行】結果入力表!$Q$7:$V$150,2,FALSE)),"",VLOOKUP($F11&amp;$D$3&amp;I$4,【進行】結果入力表!$Q$7:$V$150,2,FALSE))</f>
        <v>52</v>
      </c>
      <c r="J11" s="436"/>
      <c r="K11" s="437"/>
      <c r="L11" s="438"/>
      <c r="M11" s="439">
        <f>IF(ISERROR(VLOOKUP($F11&amp;$D$3&amp;M$4,【進行】結果入力表!$Q$7:$V$150,2,FALSE)),"",VLOOKUP($F11&amp;$D$3&amp;M$4,【進行】結果入力表!$Q$7:$V$150,2,FALSE))</f>
        <v>130</v>
      </c>
      <c r="N11" s="440"/>
      <c r="O11" s="189">
        <f>IF(M10="","",COUNTIF(I11:N11,"w"))</f>
        <v>0</v>
      </c>
      <c r="P11" s="190">
        <f>IF(M10="","",COUNT(I11,M11))</f>
        <v>2</v>
      </c>
      <c r="Q11" s="405">
        <f>SUM(I11:N11)+O11*H11</f>
        <v>182</v>
      </c>
      <c r="R11" s="406"/>
      <c r="S11" s="190">
        <f>IF(M10="","",Q11/H11*180)</f>
        <v>182</v>
      </c>
      <c r="T11" s="191">
        <f>IF(K10="w",180,K10/H11*180)+IF(K12="w",180,K12/H11*180)</f>
        <v>360</v>
      </c>
      <c r="U11" s="191">
        <f>O11*10000000+S11*O10010*10000000+S11*1000-T11</f>
        <v>181640</v>
      </c>
      <c r="V11" s="192">
        <f>IF(M10="","",RANK(U10:U12,U10:U12,0))</f>
        <v>3</v>
      </c>
      <c r="X11" s="7">
        <v>2</v>
      </c>
      <c r="Y11" s="7">
        <v>3</v>
      </c>
      <c r="Z11" s="421" t="str">
        <f>$D$6</f>
        <v>SBC</v>
      </c>
      <c r="AA11" s="422"/>
      <c r="AB11" s="413" t="str">
        <f>VLOOKUP(VALUE(X11&amp;Y11),【準備】登録!$AI$5:$AL$28,3,FALSE)</f>
        <v>西峰久祐</v>
      </c>
      <c r="AC11" s="414"/>
      <c r="AD11" s="188">
        <f>VLOOKUP(AB11,【準備】登録!$AK$4:$AL$27,2,FALSE)</f>
        <v>180</v>
      </c>
      <c r="AE11" s="435" t="str">
        <f>IF(ISERROR(VLOOKUP($AB11&amp;$Z$3&amp;AE$4,【進行】結果入力表!$Q$7:$V$150,2,FALSE)),"",VLOOKUP($AB11&amp;$Z$3&amp;AE$4,【進行】結果入力表!$Q$7:$V$150,2,FALSE))</f>
        <v>w</v>
      </c>
      <c r="AF11" s="436"/>
      <c r="AG11" s="437"/>
      <c r="AH11" s="438"/>
      <c r="AI11" s="439" t="str">
        <f>IF(ISERROR(VLOOKUP($AB11&amp;$Z$3&amp;AI$4,【進行】結果入力表!$Q$7:$V$150,2,FALSE)),"",VLOOKUP($AB11&amp;$Z$3&amp;AI$4,【進行】結果入力表!$Q$7:$V$150,2,FALSE))</f>
        <v>w</v>
      </c>
      <c r="AJ11" s="440"/>
      <c r="AK11" s="189">
        <f>IF(AI10="","",COUNTIF(AE11:AJ11,"w"))</f>
        <v>2</v>
      </c>
      <c r="AL11" s="190">
        <f>IF(AI10="","",COUNT(AE11,AI11))</f>
        <v>0</v>
      </c>
      <c r="AM11" s="405">
        <f>SUM(AE11:AJ11)+AK11*AD11</f>
        <v>360</v>
      </c>
      <c r="AN11" s="406"/>
      <c r="AO11" s="204">
        <f>IF(AI10="","",AM11/AD11*180)</f>
        <v>360</v>
      </c>
      <c r="AP11" s="191">
        <f>IF(AG10="w",180,AG10/AD11*180)+IF(AG12="w",180,AG12/AD11*180)</f>
        <v>122</v>
      </c>
      <c r="AQ11" s="191">
        <f>AK11*10000000+AO11*AK10010*10000000+AO11*1000-AP11</f>
        <v>20359878</v>
      </c>
      <c r="AR11" s="192">
        <f>IF(AI10="","",RANK(AQ10:AQ12,AQ10:AQ12,0))</f>
        <v>1</v>
      </c>
      <c r="AT11" s="7">
        <v>2</v>
      </c>
      <c r="AU11" s="7">
        <v>4</v>
      </c>
      <c r="AV11" s="421" t="str">
        <f>$D$6</f>
        <v>SBC</v>
      </c>
      <c r="AW11" s="422"/>
      <c r="AX11" s="413" t="str">
        <f>VLOOKUP(VALUE(AT11&amp;AU11),【準備】登録!$AI$5:$AL$28,3,FALSE)</f>
        <v>大橋義治</v>
      </c>
      <c r="AY11" s="414"/>
      <c r="AZ11" s="188">
        <f>VLOOKUP(AX11,【準備】登録!$AK$4:$AL$27,2,FALSE)</f>
        <v>180</v>
      </c>
      <c r="BA11" s="435" t="str">
        <f>IF(ISERROR(VLOOKUP($AX11&amp;$AV$3&amp;BA$4,【進行】結果入力表!$Q$7:$V$150,2,FALSE)),"",VLOOKUP($AX11&amp;$AV$3&amp;BA$4,【進行】結果入力表!$Q$7:$V$150,2,FALSE))</f>
        <v>w</v>
      </c>
      <c r="BB11" s="436"/>
      <c r="BC11" s="437"/>
      <c r="BD11" s="438"/>
      <c r="BE11" s="439">
        <f>IF(ISERROR(VLOOKUP($AX11&amp;$AV$3&amp;BE$4,【進行】結果入力表!$Q$7:$V$150,2,FALSE)),"",VLOOKUP($AX11&amp;$AV$3&amp;BE$4,【進行】結果入力表!$Q$7:$V$150,2,FALSE))</f>
        <v>90</v>
      </c>
      <c r="BF11" s="440"/>
      <c r="BG11" s="216">
        <f>IF(BE10="","",COUNTIF(BA11:BF11,"w"))</f>
        <v>1</v>
      </c>
      <c r="BH11" s="217">
        <f>IF(BE10="","",COUNT(BA11,BE11))</f>
        <v>1</v>
      </c>
      <c r="BI11" s="405">
        <f>SUM(BA11:BF11)+BG11*AZ11</f>
        <v>270</v>
      </c>
      <c r="BJ11" s="406"/>
      <c r="BK11" s="264">
        <f>IF(BE10="","",BI11/AZ11*180)</f>
        <v>270</v>
      </c>
      <c r="BL11" s="191">
        <f>IF(BC10="w",180,BC10/AZ11*180)+IF(BC12="w",180,BC12/AZ11*180)</f>
        <v>265</v>
      </c>
      <c r="BM11" s="191">
        <f>BG11*10000000+BK11*BG10010*10000000+BK11*1000-BL11</f>
        <v>10269735</v>
      </c>
      <c r="BN11" s="240">
        <f>IF(BE10="","",RANK(BM10:BM12,BM10:BM12,0))</f>
        <v>3</v>
      </c>
    </row>
    <row r="12" spans="1:66" s="7" customFormat="1" ht="12">
      <c r="A12" s="7">
        <v>1</v>
      </c>
      <c r="B12" s="7">
        <v>2</v>
      </c>
      <c r="D12" s="407" t="str">
        <f>$D$7</f>
        <v>NRC</v>
      </c>
      <c r="E12" s="408"/>
      <c r="F12" s="415" t="str">
        <f>VLOOKUP(VALUE($A12&amp;$D9),【準備】登録!$AI$5:$AL$28,3,FALSE)</f>
        <v>岩本剛</v>
      </c>
      <c r="G12" s="416"/>
      <c r="H12" s="193">
        <f>VLOOKUP(F12,【準備】登録!$AK$4:$AL$27,2,FALSE)</f>
        <v>180</v>
      </c>
      <c r="I12" s="425">
        <f>IF(ISERROR(VLOOKUP($F12&amp;$D$3&amp;I$4,【進行】結果入力表!$Q$7:$V$150,2,FALSE)),"",VLOOKUP($F12&amp;$D$3&amp;I$4,【進行】結果入力表!$Q$7:$V$150,2,FALSE))</f>
        <v>172</v>
      </c>
      <c r="J12" s="426"/>
      <c r="K12" s="427" t="str">
        <f>IF(ISERROR(VLOOKUP($F12&amp;$D$3&amp;K$4,【進行】結果入力表!$Q$7:$V$150,2,FALSE)),"",VLOOKUP($F12&amp;$D$3&amp;K$4,【進行】結果入力表!$Q$7:$V$150,2,FALSE))</f>
        <v>w</v>
      </c>
      <c r="L12" s="426"/>
      <c r="M12" s="428"/>
      <c r="N12" s="429"/>
      <c r="O12" s="194">
        <f>IF(M10="","",COUNTIF(I12:N12,"w"))</f>
        <v>1</v>
      </c>
      <c r="P12" s="195">
        <f>IF(M10="","",COUNT(I12,K12))</f>
        <v>1</v>
      </c>
      <c r="Q12" s="433">
        <f>SUM(I12:N12)+O12*H12</f>
        <v>352</v>
      </c>
      <c r="R12" s="434"/>
      <c r="S12" s="195">
        <f>IF(M10="","",Q12/H12*180)</f>
        <v>352</v>
      </c>
      <c r="T12" s="196">
        <f>IF(M10="w",180,M10/H12*180)+IF(M11="w",180,M11/H12*180)</f>
        <v>310</v>
      </c>
      <c r="U12" s="196">
        <f>O12*10000000+S12*O10011*10000000+S12*1000-T12</f>
        <v>10351690</v>
      </c>
      <c r="V12" s="197">
        <f>IF(M10="","",RANK(U10:U12,U10:U12,0))</f>
        <v>2</v>
      </c>
      <c r="X12" s="7">
        <v>1</v>
      </c>
      <c r="Y12" s="7">
        <v>2</v>
      </c>
      <c r="Z12" s="407" t="str">
        <f>$D$7</f>
        <v>NRC</v>
      </c>
      <c r="AA12" s="408"/>
      <c r="AB12" s="415" t="str">
        <f>VLOOKUP(VALUE(X12&amp;Y12),【準備】登録!$AI$5:$AL$28,3,FALSE)</f>
        <v>岩本剛</v>
      </c>
      <c r="AC12" s="416"/>
      <c r="AD12" s="193">
        <f>VLOOKUP(AB12,【準備】登録!$AK$4:$AL$27,2,FALSE)</f>
        <v>180</v>
      </c>
      <c r="AE12" s="425" t="str">
        <f>IF(ISERROR(VLOOKUP($AB12&amp;$Z$3&amp;AE$4,【進行】結果入力表!$Q$7:$V$150,2,FALSE)),"",VLOOKUP($AB12&amp;$Z$3&amp;AE$4,【進行】結果入力表!$Q$7:$V$150,2,FALSE))</f>
        <v>w</v>
      </c>
      <c r="AF12" s="426"/>
      <c r="AG12" s="427">
        <f>IF(ISERROR(VLOOKUP($AB12&amp;$Z$3&amp;AG$4,【進行】結果入力表!$Q$7:$V$150,2,FALSE)),"",VLOOKUP($AB12&amp;$Z$3&amp;AG$4,【進行】結果入力表!$Q$7:$V$150,2,FALSE))</f>
        <v>45</v>
      </c>
      <c r="AH12" s="426"/>
      <c r="AI12" s="428"/>
      <c r="AJ12" s="429"/>
      <c r="AK12" s="194">
        <f>IF(AI10="","",COUNTIF(AE12:AJ12,"w"))</f>
        <v>1</v>
      </c>
      <c r="AL12" s="195">
        <f>IF(AI10="","",COUNT(AE12,AG12))</f>
        <v>1</v>
      </c>
      <c r="AM12" s="433">
        <f>SUM(AE12:AJ12)+AK12*AD12</f>
        <v>225</v>
      </c>
      <c r="AN12" s="434"/>
      <c r="AO12" s="205">
        <f>IF(AI10="","",AM12/AD12*180)</f>
        <v>225</v>
      </c>
      <c r="AP12" s="196">
        <f>IF(AI10="w",180,AI10/AD12*180)+IF(AI11="w",180,AI11/AD12*180)</f>
        <v>336</v>
      </c>
      <c r="AQ12" s="196">
        <f>AK12*10000000+AO12*AK10011*10000000+AO12*1000-AP12</f>
        <v>10224664</v>
      </c>
      <c r="AR12" s="197">
        <f>IF(AI10="","",RANK(AQ10:AQ12,AQ10:AQ12,0))</f>
        <v>2</v>
      </c>
      <c r="AT12" s="7">
        <v>1</v>
      </c>
      <c r="AU12" s="7">
        <v>2</v>
      </c>
      <c r="AV12" s="407" t="str">
        <f>$D$7</f>
        <v>NRC</v>
      </c>
      <c r="AW12" s="408"/>
      <c r="AX12" s="415" t="str">
        <f>VLOOKUP(VALUE(AT12&amp;AU12),【準備】登録!$AI$5:$AL$28,3,FALSE)</f>
        <v>岩本剛</v>
      </c>
      <c r="AY12" s="416"/>
      <c r="AZ12" s="193">
        <f>VLOOKUP(AX12,【準備】登録!$AK$4:$AL$27,2,FALSE)</f>
        <v>180</v>
      </c>
      <c r="BA12" s="425">
        <f>IF(ISERROR(VLOOKUP($AX12&amp;$AV$3&amp;BA$4,【進行】結果入力表!$Q$7:$V$150,2,FALSE)),"",VLOOKUP($AX12&amp;$AV$3&amp;BA$4,【進行】結果入力表!$Q$7:$V$150,2,FALSE))</f>
        <v>165</v>
      </c>
      <c r="BB12" s="426"/>
      <c r="BC12" s="427" t="str">
        <f>IF(ISERROR(VLOOKUP($AX12&amp;$AV$3&amp;BC$4,【進行】結果入力表!$Q$7:$V$150,2,FALSE)),"",VLOOKUP($AX12&amp;$AV$3&amp;BC$4,【進行】結果入力表!$Q$7:$V$150,2,FALSE))</f>
        <v>w</v>
      </c>
      <c r="BD12" s="426"/>
      <c r="BE12" s="428"/>
      <c r="BF12" s="429"/>
      <c r="BG12" s="219">
        <f>IF(BE10="","",COUNTIF(BA12:BF12,"w"))</f>
        <v>1</v>
      </c>
      <c r="BH12" s="220">
        <f>IF(BE10="","",COUNT(BA12,BC12))</f>
        <v>1</v>
      </c>
      <c r="BI12" s="433">
        <f>SUM(BA12:BF12)+BG12*AZ12</f>
        <v>345</v>
      </c>
      <c r="BJ12" s="434"/>
      <c r="BK12" s="221">
        <f>IF(BE10="","",BI12/AZ12*180)</f>
        <v>345</v>
      </c>
      <c r="BL12" s="196">
        <f>IF(BE10="w",180,BE10/AZ12*180)+IF(BE11="w",180,BE11/AZ12*180)</f>
        <v>270</v>
      </c>
      <c r="BM12" s="196">
        <f>BG12*10000000+BK12*BG10011*10000000+BK12*1000-BL12</f>
        <v>10344730</v>
      </c>
      <c r="BN12" s="241">
        <f>IF(BE10="","",RANK(BM10:BM12,BM10:BM12,0))</f>
        <v>1</v>
      </c>
    </row>
    <row r="13" spans="1:66" s="7" customFormat="1" ht="8.25" customHeight="1">
      <c r="D13" s="198"/>
      <c r="E13" s="198"/>
      <c r="F13" s="198"/>
      <c r="G13" s="198"/>
      <c r="H13" s="199"/>
      <c r="I13" s="198"/>
      <c r="J13" s="198"/>
      <c r="K13" s="198"/>
      <c r="L13" s="198"/>
      <c r="M13" s="198"/>
      <c r="N13" s="198"/>
      <c r="O13" s="198"/>
      <c r="P13" s="198"/>
      <c r="Q13" s="199"/>
      <c r="R13" s="199"/>
      <c r="S13" s="198"/>
      <c r="T13" s="198"/>
      <c r="U13" s="199"/>
      <c r="V13" s="198"/>
      <c r="Z13" s="198"/>
      <c r="AA13" s="198"/>
      <c r="AB13" s="198"/>
      <c r="AC13" s="198"/>
      <c r="AD13" s="199"/>
      <c r="AE13" s="198"/>
      <c r="AF13" s="198"/>
      <c r="AG13" s="198"/>
      <c r="AH13" s="198"/>
      <c r="AI13" s="198"/>
      <c r="AJ13" s="198"/>
      <c r="AK13" s="198"/>
      <c r="AL13" s="198"/>
      <c r="AM13" s="199"/>
      <c r="AN13" s="199"/>
      <c r="AO13" s="206"/>
      <c r="AP13" s="198"/>
      <c r="AQ13" s="199"/>
      <c r="AR13" s="198"/>
      <c r="AV13" s="198"/>
      <c r="AW13" s="198"/>
      <c r="AX13" s="198"/>
      <c r="AY13" s="198"/>
      <c r="AZ13" s="223"/>
      <c r="BA13" s="198"/>
      <c r="BB13" s="198"/>
      <c r="BC13" s="198"/>
      <c r="BD13" s="198"/>
      <c r="BE13" s="198"/>
      <c r="BF13" s="198"/>
      <c r="BG13" s="222"/>
      <c r="BH13" s="222"/>
      <c r="BI13" s="223"/>
      <c r="BJ13" s="223"/>
      <c r="BK13" s="222"/>
      <c r="BL13" s="198"/>
      <c r="BM13" s="199"/>
      <c r="BN13" s="242"/>
    </row>
    <row r="14" spans="1:66" s="7" customFormat="1" ht="12">
      <c r="D14" s="417">
        <v>3</v>
      </c>
      <c r="E14" s="418"/>
      <c r="F14" s="409" t="s">
        <v>64</v>
      </c>
      <c r="G14" s="410"/>
      <c r="H14" s="175" t="str">
        <f>H$4</f>
        <v>持点</v>
      </c>
      <c r="I14" s="176" t="str">
        <f>$D$5</f>
        <v>HRC</v>
      </c>
      <c r="J14" s="177"/>
      <c r="K14" s="178" t="str">
        <f>$D$6</f>
        <v>SBC</v>
      </c>
      <c r="L14" s="177"/>
      <c r="M14" s="178" t="str">
        <f>$D$7</f>
        <v>NRC</v>
      </c>
      <c r="N14" s="179"/>
      <c r="O14" s="177" t="s">
        <v>21</v>
      </c>
      <c r="P14" s="180" t="s">
        <v>47</v>
      </c>
      <c r="Q14" s="401" t="s">
        <v>48</v>
      </c>
      <c r="R14" s="402"/>
      <c r="S14" s="180" t="s">
        <v>48</v>
      </c>
      <c r="T14" s="181" t="s">
        <v>65</v>
      </c>
      <c r="U14" s="181" t="s">
        <v>59</v>
      </c>
      <c r="V14" s="182" t="s">
        <v>49</v>
      </c>
      <c r="Z14" s="417">
        <v>3</v>
      </c>
      <c r="AA14" s="418"/>
      <c r="AB14" s="409" t="s">
        <v>64</v>
      </c>
      <c r="AC14" s="410"/>
      <c r="AD14" s="175" t="str">
        <f>$H$4</f>
        <v>持点</v>
      </c>
      <c r="AE14" s="176" t="str">
        <f>$D$5</f>
        <v>HRC</v>
      </c>
      <c r="AF14" s="177"/>
      <c r="AG14" s="178" t="str">
        <f>$D$6</f>
        <v>SBC</v>
      </c>
      <c r="AH14" s="177"/>
      <c r="AI14" s="178" t="str">
        <f>$D$7</f>
        <v>NRC</v>
      </c>
      <c r="AJ14" s="179"/>
      <c r="AK14" s="177" t="s">
        <v>21</v>
      </c>
      <c r="AL14" s="180" t="s">
        <v>47</v>
      </c>
      <c r="AM14" s="401" t="s">
        <v>48</v>
      </c>
      <c r="AN14" s="402"/>
      <c r="AO14" s="203" t="s">
        <v>48</v>
      </c>
      <c r="AP14" s="181" t="s">
        <v>65</v>
      </c>
      <c r="AQ14" s="181" t="s">
        <v>59</v>
      </c>
      <c r="AR14" s="182" t="s">
        <v>49</v>
      </c>
      <c r="AV14" s="417">
        <v>3</v>
      </c>
      <c r="AW14" s="418"/>
      <c r="AX14" s="409" t="s">
        <v>64</v>
      </c>
      <c r="AY14" s="410"/>
      <c r="AZ14" s="210" t="str">
        <f>$H$4</f>
        <v>持点</v>
      </c>
      <c r="BA14" s="176" t="str">
        <f>$D$5</f>
        <v>HRC</v>
      </c>
      <c r="BB14" s="177"/>
      <c r="BC14" s="178" t="str">
        <f>$D$6</f>
        <v>SBC</v>
      </c>
      <c r="BD14" s="177"/>
      <c r="BE14" s="178" t="str">
        <f>$D$7</f>
        <v>NRC</v>
      </c>
      <c r="BF14" s="179"/>
      <c r="BG14" s="200" t="s">
        <v>21</v>
      </c>
      <c r="BH14" s="211" t="s">
        <v>47</v>
      </c>
      <c r="BI14" s="401" t="s">
        <v>48</v>
      </c>
      <c r="BJ14" s="402"/>
      <c r="BK14" s="211" t="s">
        <v>48</v>
      </c>
      <c r="BL14" s="181" t="s">
        <v>65</v>
      </c>
      <c r="BM14" s="181" t="s">
        <v>59</v>
      </c>
      <c r="BN14" s="212" t="s">
        <v>49</v>
      </c>
    </row>
    <row r="15" spans="1:66" s="7" customFormat="1" ht="12">
      <c r="A15" s="7">
        <v>3</v>
      </c>
      <c r="B15" s="7">
        <v>3</v>
      </c>
      <c r="D15" s="419" t="str">
        <f>$D$5</f>
        <v>HRC</v>
      </c>
      <c r="E15" s="420"/>
      <c r="F15" s="411" t="str">
        <f>VLOOKUP(VALUE($A15&amp;$D14),【準備】登録!$AI$5:$AL$28,3,FALSE)</f>
        <v>平井洸志</v>
      </c>
      <c r="G15" s="412"/>
      <c r="H15" s="183">
        <f>VLOOKUP(F15,【準備】登録!$AK$4:$AL$27,2,FALSE)</f>
        <v>180</v>
      </c>
      <c r="I15" s="430"/>
      <c r="J15" s="431"/>
      <c r="K15" s="423" t="str">
        <f>IF(ISERROR(VLOOKUP($F15&amp;$D$3&amp;K$4,【進行】結果入力表!$Q$7:$V$150,2,FALSE)),"",VLOOKUP($F15&amp;$D$3&amp;K$4,【進行】結果入力表!$Q$7:$V$150,2,FALSE))</f>
        <v>w</v>
      </c>
      <c r="L15" s="432"/>
      <c r="M15" s="423" t="str">
        <f>IF(ISERROR(VLOOKUP($F15&amp;$D$3&amp;M$4,【進行】結果入力表!$Q$7:$V$150,2,FALSE)),"",VLOOKUP($F15&amp;$D$3&amp;M$4,【進行】結果入力表!$Q$7:$V$150,2,FALSE))</f>
        <v>w</v>
      </c>
      <c r="N15" s="424"/>
      <c r="O15" s="184">
        <f>IF(M15="","",COUNTIF(I15:N15,"w"))</f>
        <v>2</v>
      </c>
      <c r="P15" s="185">
        <f>IF(M15="","",COUNT(K15,M15))</f>
        <v>0</v>
      </c>
      <c r="Q15" s="403">
        <f>SUM(I15:N15)+O15*H15</f>
        <v>360</v>
      </c>
      <c r="R15" s="404"/>
      <c r="S15" s="185">
        <f>IF(M15="","",Q15/H15*180)</f>
        <v>360</v>
      </c>
      <c r="T15" s="186">
        <f>IF(I16="w",180,I16/H15*180)+IF(I17="w",180,I17/H15*180)</f>
        <v>178</v>
      </c>
      <c r="U15" s="186">
        <f>O15*10000000+S15*O10014*10000000+S15*1000-T15</f>
        <v>20359822</v>
      </c>
      <c r="V15" s="187">
        <f>IF(M15="","",RANK(U15:U17,U15:U17,0))</f>
        <v>1</v>
      </c>
      <c r="X15" s="7">
        <v>3</v>
      </c>
      <c r="Y15" s="7">
        <v>5</v>
      </c>
      <c r="Z15" s="419" t="str">
        <f>$D$5</f>
        <v>HRC</v>
      </c>
      <c r="AA15" s="420"/>
      <c r="AB15" s="411" t="str">
        <f>VLOOKUP(VALUE(X15&amp;Y15),【準備】登録!$AI$5:$AL$28,3,FALSE)</f>
        <v>金井健太郎</v>
      </c>
      <c r="AC15" s="412"/>
      <c r="AD15" s="183">
        <f>VLOOKUP(AB15,【準備】登録!$AK$4:$AL$27,2,FALSE)</f>
        <v>180</v>
      </c>
      <c r="AE15" s="430"/>
      <c r="AF15" s="431"/>
      <c r="AG15" s="423" t="str">
        <f>IF(ISERROR(VLOOKUP($AB15&amp;$Z$3&amp;AG$4,【進行】結果入力表!$Q$7:$V$150,2,FALSE)),"",VLOOKUP($AB15&amp;$Z$3&amp;AG$4,【進行】結果入力表!$Q$7:$V$150,2,FALSE))</f>
        <v>w</v>
      </c>
      <c r="AH15" s="432"/>
      <c r="AI15" s="423" t="str">
        <f>IF(ISERROR(VLOOKUP($AB15&amp;$Z$3&amp;AI$4,【進行】結果入力表!$Q$7:$V$150,2,FALSE)),"",VLOOKUP($AB15&amp;$Z$3&amp;AI$4,【進行】結果入力表!$Q$7:$V$150,2,FALSE))</f>
        <v>w</v>
      </c>
      <c r="AJ15" s="424"/>
      <c r="AK15" s="184">
        <f>IF(AI15="","",COUNTIF(AE15:AJ15,"w"))</f>
        <v>2</v>
      </c>
      <c r="AL15" s="185">
        <f>IF(AI15="","",COUNT(AG15,AI15))</f>
        <v>0</v>
      </c>
      <c r="AM15" s="403">
        <f>SUM(AE15:AJ15)+AK15*AD15</f>
        <v>360</v>
      </c>
      <c r="AN15" s="404"/>
      <c r="AO15" s="207">
        <f>IF(AI15="","",AM15/AD15*180)</f>
        <v>360</v>
      </c>
      <c r="AP15" s="186">
        <f>IF(AE16="w",180,AE16/AD15*180)+IF(AE17="w",180,AE17/AD15*180)</f>
        <v>51</v>
      </c>
      <c r="AQ15" s="186">
        <f>AK15*10000000+AO15*AK10014*10000000+AO15*1000-AP15</f>
        <v>20359949</v>
      </c>
      <c r="AR15" s="187">
        <f>IF(AI15="","",RANK(AQ15:AQ17,AQ15:AQ17,0))</f>
        <v>1</v>
      </c>
      <c r="AT15" s="7">
        <v>3</v>
      </c>
      <c r="AU15" s="313">
        <f>IF(【準備】登録!U6=5,2,IF(【準備】登録!U6=6,1,7))</f>
        <v>1</v>
      </c>
      <c r="AV15" s="419" t="str">
        <f>$D$5</f>
        <v>HRC</v>
      </c>
      <c r="AW15" s="420"/>
      <c r="AX15" s="411" t="str">
        <f>VLOOKUP(VALUE(AT15&amp;AU15),【準備】登録!$AI$5:$AL$28,3,FALSE)</f>
        <v>宮本一</v>
      </c>
      <c r="AY15" s="412"/>
      <c r="AZ15" s="183">
        <f>VLOOKUP(AX15,【準備】登録!$AK$4:$AL$27,2,FALSE)</f>
        <v>180</v>
      </c>
      <c r="BA15" s="430"/>
      <c r="BB15" s="431"/>
      <c r="BC15" s="423" t="str">
        <f>IF(ISERROR(VLOOKUP($AX15&amp;$AV$3&amp;BC$4,【進行】結果入力表!$Q$7:$V$150,2,FALSE)),"",VLOOKUP($AX15&amp;$AV$3&amp;BC$4,【進行】結果入力表!$Q$7:$V$150,2,FALSE))</f>
        <v>w</v>
      </c>
      <c r="BD15" s="432"/>
      <c r="BE15" s="423" t="str">
        <f>IF(ISERROR(VLOOKUP($AX15&amp;$AV$3&amp;BE$4,【進行】結果入力表!$Q$7:$V$150,2,FALSE)),"",VLOOKUP($AX15&amp;$AV$3&amp;BE$4,【進行】結果入力表!$Q$7:$V$150,2,FALSE))</f>
        <v>w</v>
      </c>
      <c r="BF15" s="424"/>
      <c r="BG15" s="213">
        <f>IF(BE15="","",COUNTIF(BA15:BF15,"w"))</f>
        <v>2</v>
      </c>
      <c r="BH15" s="214">
        <f>IF(BE15="","",COUNT(BC15,BE15))</f>
        <v>0</v>
      </c>
      <c r="BI15" s="403">
        <f>SUM(BA15:BF15)+BG15*AZ15</f>
        <v>360</v>
      </c>
      <c r="BJ15" s="404"/>
      <c r="BK15" s="215">
        <f>IF(BE15="","",BI15/AZ15*180)</f>
        <v>360</v>
      </c>
      <c r="BL15" s="186">
        <f>IF(BA16="w",180,BA16/AZ15*180)+IF(BA17="w",180,BA17/AZ15*180)</f>
        <v>59</v>
      </c>
      <c r="BM15" s="186">
        <f>BG15*10000000+BK15*BG10014*10000000+BK15*1000-BL15</f>
        <v>20359941</v>
      </c>
      <c r="BN15" s="239">
        <f>IF(BE15="","",RANK(BM15:BM17,BM15:BM17,0))</f>
        <v>1</v>
      </c>
    </row>
    <row r="16" spans="1:66" s="7" customFormat="1" ht="12">
      <c r="A16" s="7">
        <v>2</v>
      </c>
      <c r="B16" s="7">
        <v>3</v>
      </c>
      <c r="D16" s="421" t="str">
        <f>$D$6</f>
        <v>SBC</v>
      </c>
      <c r="E16" s="422"/>
      <c r="F16" s="413" t="str">
        <f>VLOOKUP(VALUE($A16&amp;$D14),【準備】登録!$AI$5:$AL$28,3,FALSE)</f>
        <v>西峰久祐</v>
      </c>
      <c r="G16" s="414"/>
      <c r="H16" s="188">
        <f>VLOOKUP(F16,【準備】登録!$AK$4:$AL$27,2,FALSE)</f>
        <v>180</v>
      </c>
      <c r="I16" s="435">
        <f>IF(ISERROR(VLOOKUP($F16&amp;$D$3&amp;I$4,【進行】結果入力表!$Q$7:$V$150,2,FALSE)),"",VLOOKUP($F16&amp;$D$3&amp;I$4,【進行】結果入力表!$Q$7:$V$150,2,FALSE))</f>
        <v>129</v>
      </c>
      <c r="J16" s="436"/>
      <c r="K16" s="437"/>
      <c r="L16" s="438"/>
      <c r="M16" s="439" t="str">
        <f>IF(ISERROR(VLOOKUP($F16&amp;$D$3&amp;M$4,【進行】結果入力表!$Q$7:$V$150,2,FALSE)),"",VLOOKUP($F16&amp;$D$3&amp;M$4,【進行】結果入力表!$Q$7:$V$150,2,FALSE))</f>
        <v>w</v>
      </c>
      <c r="N16" s="440"/>
      <c r="O16" s="189">
        <f>IF(M15="","",COUNTIF(I16:N16,"w"))</f>
        <v>1</v>
      </c>
      <c r="P16" s="190">
        <f>IF(M15="","",COUNT(I16,M16))</f>
        <v>1</v>
      </c>
      <c r="Q16" s="405">
        <f>SUM(I16:N16)+O16*H16</f>
        <v>309</v>
      </c>
      <c r="R16" s="406"/>
      <c r="S16" s="204">
        <f>IF(M15="","",Q16/H16*180)</f>
        <v>309</v>
      </c>
      <c r="T16" s="191">
        <f>IF(K15="w",180,K15/H16*180)+IF(K17="w",180,K17/H16*180)</f>
        <v>223</v>
      </c>
      <c r="U16" s="191">
        <f>O16*10000000+S16*O10015*10000000+S16*1000-T16</f>
        <v>10308777</v>
      </c>
      <c r="V16" s="192">
        <f>IF(M15="","",RANK(U15:U17,U15:U17,0))</f>
        <v>2</v>
      </c>
      <c r="X16" s="7">
        <v>2</v>
      </c>
      <c r="Y16" s="7">
        <v>4</v>
      </c>
      <c r="Z16" s="421" t="str">
        <f>$D$6</f>
        <v>SBC</v>
      </c>
      <c r="AA16" s="422"/>
      <c r="AB16" s="413" t="str">
        <f>VLOOKUP(VALUE(X16&amp;Y16),【準備】登録!$AI$5:$AL$28,3,FALSE)</f>
        <v>大橋義治</v>
      </c>
      <c r="AC16" s="414"/>
      <c r="AD16" s="188">
        <f>VLOOKUP(AB16,【準備】登録!$AK$4:$AL$27,2,FALSE)</f>
        <v>180</v>
      </c>
      <c r="AE16" s="435">
        <f>IF(ISERROR(VLOOKUP($AB16&amp;$Z$3&amp;AE$4,【進行】結果入力表!$Q$7:$V$150,2,FALSE)),"",VLOOKUP($AB16&amp;$Z$3&amp;AE$4,【進行】結果入力表!$Q$7:$V$150,2,FALSE))</f>
        <v>51</v>
      </c>
      <c r="AF16" s="436"/>
      <c r="AG16" s="437"/>
      <c r="AH16" s="438"/>
      <c r="AI16" s="439">
        <f>IF(ISERROR(VLOOKUP($AB16&amp;$Z$3&amp;AI$4,【進行】結果入力表!$Q$7:$V$150,2,FALSE)),"",VLOOKUP($AB16&amp;$Z$3&amp;AI$4,【進行】結果入力表!$Q$7:$V$150,2,FALSE))</f>
        <v>174</v>
      </c>
      <c r="AJ16" s="440"/>
      <c r="AK16" s="189">
        <f>IF(AI15="","",COUNTIF(AE16:AJ16,"w"))</f>
        <v>0</v>
      </c>
      <c r="AL16" s="190">
        <f>IF(AI15="","",COUNT(AE16,AI16))</f>
        <v>2</v>
      </c>
      <c r="AM16" s="405">
        <f>SUM(AE16:AJ16)+AK16*AD16</f>
        <v>225</v>
      </c>
      <c r="AN16" s="406"/>
      <c r="AO16" s="204">
        <f>IF(AI15="","",AM16/AD16*180)</f>
        <v>225</v>
      </c>
      <c r="AP16" s="191">
        <f>IF(AG15="w",180,AG15/AD16*180)+IF(AG17="w",180,AG17/AD16*180)</f>
        <v>360</v>
      </c>
      <c r="AQ16" s="191">
        <f>AK16*10000000+AO16*AK10015*10000000+AO16*1000-AP16</f>
        <v>224640</v>
      </c>
      <c r="AR16" s="192">
        <f>IF(AI15="","",RANK(AQ15:AQ17,AQ15:AQ17,0))</f>
        <v>3</v>
      </c>
      <c r="AT16" s="7">
        <v>2</v>
      </c>
      <c r="AU16" s="7">
        <v>5</v>
      </c>
      <c r="AV16" s="421" t="str">
        <f>$D$6</f>
        <v>SBC</v>
      </c>
      <c r="AW16" s="422"/>
      <c r="AX16" s="413" t="str">
        <f>VLOOKUP(VALUE(AT16&amp;AU16),【準備】登録!$AI$5:$AL$28,3,FALSE)</f>
        <v>山中康寛</v>
      </c>
      <c r="AY16" s="414"/>
      <c r="AZ16" s="188">
        <f>VLOOKUP(AX16,【準備】登録!$AK$4:$AL$27,2,FALSE)</f>
        <v>180</v>
      </c>
      <c r="BA16" s="435">
        <f>IF(ISERROR(VLOOKUP($AX16&amp;$AV$3&amp;BA$4,【進行】結果入力表!$Q$7:$V$150,2,FALSE)),"",VLOOKUP($AX16&amp;$AV$3&amp;BA$4,【進行】結果入力表!$Q$7:$V$150,2,FALSE))</f>
        <v>3</v>
      </c>
      <c r="BB16" s="436"/>
      <c r="BC16" s="437"/>
      <c r="BD16" s="438"/>
      <c r="BE16" s="439">
        <f>IF(ISERROR(VLOOKUP($AX16&amp;$AV$3&amp;BE$4,【進行】結果入力表!$Q$7:$V$150,2,FALSE)),"",VLOOKUP($AX16&amp;$AV$3&amp;BE$4,【進行】結果入力表!$Q$7:$V$150,2,FALSE))</f>
        <v>150</v>
      </c>
      <c r="BF16" s="440"/>
      <c r="BG16" s="216">
        <f>IF(BE15="","",COUNTIF(BA16:BF16,"w"))</f>
        <v>0</v>
      </c>
      <c r="BH16" s="217">
        <f>IF(BE15="","",COUNT(BA16,BE16))</f>
        <v>2</v>
      </c>
      <c r="BI16" s="405">
        <f>SUM(BA16:BF16)+BG16*AZ16</f>
        <v>153</v>
      </c>
      <c r="BJ16" s="406"/>
      <c r="BK16" s="218">
        <f>IF(BE15="","",BI16/AZ16*180)</f>
        <v>153</v>
      </c>
      <c r="BL16" s="191">
        <f>IF(BC15="w",180,BC15/AZ16*180)+IF(BC17="w",180,BC17/AZ16*180)</f>
        <v>360</v>
      </c>
      <c r="BM16" s="191">
        <f>BG16*10000000+BK16*BG10015*10000000+BK16*1000-BL16</f>
        <v>152640</v>
      </c>
      <c r="BN16" s="240">
        <f>IF(BE15="","",RANK(BM15:BM17,BM15:BM17,0))</f>
        <v>3</v>
      </c>
    </row>
    <row r="17" spans="1:66" s="7" customFormat="1" ht="12">
      <c r="A17" s="7">
        <v>1</v>
      </c>
      <c r="B17" s="7">
        <v>3</v>
      </c>
      <c r="D17" s="407" t="str">
        <f>$D$7</f>
        <v>NRC</v>
      </c>
      <c r="E17" s="408"/>
      <c r="F17" s="415" t="str">
        <f>VLOOKUP(VALUE($A17&amp;$D14),【準備】登録!$AI$5:$AL$28,3,FALSE)</f>
        <v>長谷川進</v>
      </c>
      <c r="G17" s="416"/>
      <c r="H17" s="193">
        <f>VLOOKUP(F17,【準備】登録!$AK$4:$AL$27,2,FALSE)</f>
        <v>180</v>
      </c>
      <c r="I17" s="425">
        <f>IF(ISERROR(VLOOKUP($F17&amp;$D$3&amp;I$4,【進行】結果入力表!$Q$7:$V$150,2,FALSE)),"",VLOOKUP($F17&amp;$D$3&amp;I$4,【進行】結果入力表!$Q$7:$V$150,2,FALSE))</f>
        <v>49</v>
      </c>
      <c r="J17" s="426"/>
      <c r="K17" s="427">
        <f>IF(ISERROR(VLOOKUP($F17&amp;$D$3&amp;K$4,【進行】結果入力表!$Q$7:$V$150,2,FALSE)),"",VLOOKUP($F17&amp;$D$3&amp;K$4,【進行】結果入力表!$Q$7:$V$150,2,FALSE))</f>
        <v>43</v>
      </c>
      <c r="L17" s="426"/>
      <c r="M17" s="428"/>
      <c r="N17" s="429"/>
      <c r="O17" s="194">
        <f>IF(M15="","",COUNTIF(I17:N17,"w"))</f>
        <v>0</v>
      </c>
      <c r="P17" s="195">
        <f>IF(M15="","",COUNT(I17,K17))</f>
        <v>2</v>
      </c>
      <c r="Q17" s="433">
        <f>SUM(I17:N17)+O17*H17</f>
        <v>92</v>
      </c>
      <c r="R17" s="434"/>
      <c r="S17" s="195">
        <f>IF(M15="","",Q17/H17*180)</f>
        <v>92</v>
      </c>
      <c r="T17" s="196">
        <f>IF(M15="w",180,M15/H17*180)+IF(M16="w",180,M16/H17*180)</f>
        <v>360</v>
      </c>
      <c r="U17" s="196">
        <f>O17*10000000+S17*O10016*10000000+S17*1000-T17</f>
        <v>91640</v>
      </c>
      <c r="V17" s="197">
        <f>IF(M15="","",RANK(U15:U17,U15:U17,0))</f>
        <v>3</v>
      </c>
      <c r="X17" s="7">
        <v>1</v>
      </c>
      <c r="Y17" s="7">
        <v>3</v>
      </c>
      <c r="Z17" s="407" t="str">
        <f>$D$7</f>
        <v>NRC</v>
      </c>
      <c r="AA17" s="408"/>
      <c r="AB17" s="415" t="str">
        <f>VLOOKUP(VALUE(X17&amp;Y17),【準備】登録!$AI$5:$AL$28,3,FALSE)</f>
        <v>長谷川進</v>
      </c>
      <c r="AC17" s="416"/>
      <c r="AD17" s="193">
        <f>VLOOKUP(AB17,【準備】登録!$AK$4:$AL$27,2,FALSE)</f>
        <v>180</v>
      </c>
      <c r="AE17" s="425">
        <f>IF(ISERROR(VLOOKUP($AB17&amp;$Z$3&amp;AE$4,【進行】結果入力表!$Q$7:$V$150,2,FALSE)),"",VLOOKUP($AB17&amp;$Z$3&amp;AE$4,【進行】結果入力表!$Q$7:$V$150,2,FALSE))</f>
        <v>0</v>
      </c>
      <c r="AF17" s="426"/>
      <c r="AG17" s="427" t="str">
        <f>IF(ISERROR(VLOOKUP($AB17&amp;$Z$3&amp;AG$4,【進行】結果入力表!$Q$7:$V$150,2,FALSE)),"",VLOOKUP($AB17&amp;$Z$3&amp;AG$4,【進行】結果入力表!$Q$7:$V$150,2,FALSE))</f>
        <v>w</v>
      </c>
      <c r="AH17" s="426"/>
      <c r="AI17" s="428"/>
      <c r="AJ17" s="429"/>
      <c r="AK17" s="194">
        <f>IF(AI15="","",COUNTIF(AE17:AJ17,"w"))</f>
        <v>1</v>
      </c>
      <c r="AL17" s="195">
        <f>IF(AI15="","",COUNT(AE17,AG17))</f>
        <v>1</v>
      </c>
      <c r="AM17" s="433">
        <f>SUM(AE17:AJ17)+AK17*AD17</f>
        <v>180</v>
      </c>
      <c r="AN17" s="434"/>
      <c r="AO17" s="205">
        <f>IF(AI15="","",AM17/AD17*180)</f>
        <v>180</v>
      </c>
      <c r="AP17" s="196">
        <f>IF(AI15="w",180,AI15/AD17*180)+IF(AI16="w",180,AI16/AD17*180)</f>
        <v>354</v>
      </c>
      <c r="AQ17" s="196">
        <f>AK17*10000000+AO17*AK10016*10000000+AO17*1000-AP17</f>
        <v>10179646</v>
      </c>
      <c r="AR17" s="197">
        <f>IF(AI15="","",RANK(AQ15:AQ17,AQ15:AQ17,0))</f>
        <v>2</v>
      </c>
      <c r="AT17" s="7">
        <v>1</v>
      </c>
      <c r="AU17" s="7">
        <v>3</v>
      </c>
      <c r="AV17" s="407" t="str">
        <f>$D$7</f>
        <v>NRC</v>
      </c>
      <c r="AW17" s="408"/>
      <c r="AX17" s="415" t="str">
        <f>VLOOKUP(VALUE(AT17&amp;AU17),【準備】登録!$AI$5:$AL$28,3,FALSE)</f>
        <v>長谷川進</v>
      </c>
      <c r="AY17" s="416"/>
      <c r="AZ17" s="193">
        <f>VLOOKUP(AX17,【準備】登録!$AK$4:$AL$27,2,FALSE)</f>
        <v>180</v>
      </c>
      <c r="BA17" s="425">
        <f>IF(ISERROR(VLOOKUP($AX17&amp;$AV$3&amp;BA$4,【進行】結果入力表!$Q$7:$V$150,2,FALSE)),"",VLOOKUP($AX17&amp;$AV$3&amp;BA$4,【進行】結果入力表!$Q$7:$V$150,2,FALSE))</f>
        <v>56</v>
      </c>
      <c r="BB17" s="426"/>
      <c r="BC17" s="427" t="str">
        <f>IF(ISERROR(VLOOKUP($AX17&amp;$AV$3&amp;BC$4,【進行】結果入力表!$Q$7:$V$150,2,FALSE)),"",VLOOKUP($AX17&amp;$AV$3&amp;BC$4,【進行】結果入力表!$Q$7:$V$150,2,FALSE))</f>
        <v>w</v>
      </c>
      <c r="BD17" s="426"/>
      <c r="BE17" s="428"/>
      <c r="BF17" s="429"/>
      <c r="BG17" s="219">
        <f>IF(BE15="","",COUNTIF(BA17:BF17,"w"))</f>
        <v>1</v>
      </c>
      <c r="BH17" s="220">
        <f>IF(BE15="","",COUNT(BA17,BC17))</f>
        <v>1</v>
      </c>
      <c r="BI17" s="433">
        <f>SUM(BA17:BF17)+BG17*AZ17</f>
        <v>236</v>
      </c>
      <c r="BJ17" s="434"/>
      <c r="BK17" s="221">
        <f>IF(BE15="","",BI17/AZ17*180)</f>
        <v>236</v>
      </c>
      <c r="BL17" s="196">
        <f>IF(BE15="w",180,BE15/AZ17*180)+IF(BE16="w",180,BE16/AZ17*180)</f>
        <v>330</v>
      </c>
      <c r="BM17" s="196">
        <f>BG17*10000000+BK17*BG10016*10000000+BK17*1000-BL17</f>
        <v>10235670</v>
      </c>
      <c r="BN17" s="241">
        <f>IF(BE15="","",RANK(BM15:BM17,BM15:BM17,0))</f>
        <v>2</v>
      </c>
    </row>
    <row r="18" spans="1:66" s="7" customFormat="1" ht="8.25" customHeight="1">
      <c r="D18" s="198"/>
      <c r="E18" s="198"/>
      <c r="F18" s="198"/>
      <c r="G18" s="198"/>
      <c r="H18" s="199"/>
      <c r="I18" s="198"/>
      <c r="J18" s="198"/>
      <c r="K18" s="198"/>
      <c r="L18" s="198"/>
      <c r="M18" s="198"/>
      <c r="N18" s="198"/>
      <c r="O18" s="198"/>
      <c r="P18" s="198"/>
      <c r="Q18" s="199"/>
      <c r="R18" s="199"/>
      <c r="S18" s="198"/>
      <c r="T18" s="198"/>
      <c r="U18" s="199"/>
      <c r="V18" s="198"/>
      <c r="Z18" s="198"/>
      <c r="AA18" s="198"/>
      <c r="AB18" s="198"/>
      <c r="AC18" s="198"/>
      <c r="AD18" s="199"/>
      <c r="AE18" s="198"/>
      <c r="AF18" s="198"/>
      <c r="AG18" s="198"/>
      <c r="AH18" s="198"/>
      <c r="AI18" s="198"/>
      <c r="AJ18" s="198"/>
      <c r="AK18" s="198"/>
      <c r="AL18" s="198"/>
      <c r="AM18" s="199"/>
      <c r="AN18" s="199"/>
      <c r="AO18" s="206"/>
      <c r="AP18" s="198"/>
      <c r="AQ18" s="199"/>
      <c r="AR18" s="198"/>
      <c r="AV18" s="198"/>
      <c r="AW18" s="198"/>
      <c r="AX18" s="198"/>
      <c r="AY18" s="198"/>
      <c r="AZ18" s="223"/>
      <c r="BA18" s="198"/>
      <c r="BB18" s="198"/>
      <c r="BC18" s="198"/>
      <c r="BD18" s="198"/>
      <c r="BE18" s="198"/>
      <c r="BF18" s="198"/>
      <c r="BG18" s="222"/>
      <c r="BH18" s="222"/>
      <c r="BI18" s="223"/>
      <c r="BJ18" s="223"/>
      <c r="BK18" s="222"/>
      <c r="BL18" s="198"/>
      <c r="BM18" s="199"/>
      <c r="BN18" s="242"/>
    </row>
    <row r="19" spans="1:66" s="7" customFormat="1" ht="12">
      <c r="D19" s="417">
        <v>4</v>
      </c>
      <c r="E19" s="418"/>
      <c r="F19" s="409" t="s">
        <v>64</v>
      </c>
      <c r="G19" s="410"/>
      <c r="H19" s="175" t="str">
        <f>H$4</f>
        <v>持点</v>
      </c>
      <c r="I19" s="176" t="str">
        <f>$D$5</f>
        <v>HRC</v>
      </c>
      <c r="J19" s="177"/>
      <c r="K19" s="178" t="str">
        <f>$D$6</f>
        <v>SBC</v>
      </c>
      <c r="L19" s="177"/>
      <c r="M19" s="178" t="str">
        <f>$D$7</f>
        <v>NRC</v>
      </c>
      <c r="N19" s="179"/>
      <c r="O19" s="177" t="s">
        <v>21</v>
      </c>
      <c r="P19" s="180" t="s">
        <v>47</v>
      </c>
      <c r="Q19" s="401" t="s">
        <v>48</v>
      </c>
      <c r="R19" s="402"/>
      <c r="S19" s="180" t="s">
        <v>48</v>
      </c>
      <c r="T19" s="181" t="s">
        <v>65</v>
      </c>
      <c r="U19" s="181" t="s">
        <v>59</v>
      </c>
      <c r="V19" s="182" t="s">
        <v>49</v>
      </c>
      <c r="Z19" s="417">
        <v>4</v>
      </c>
      <c r="AA19" s="418"/>
      <c r="AB19" s="409" t="s">
        <v>64</v>
      </c>
      <c r="AC19" s="410"/>
      <c r="AD19" s="175" t="str">
        <f>$H$4</f>
        <v>持点</v>
      </c>
      <c r="AE19" s="176" t="str">
        <f>M30</f>
        <v>w</v>
      </c>
      <c r="AF19" s="177"/>
      <c r="AG19" s="178" t="str">
        <f>$D$6</f>
        <v>SBC</v>
      </c>
      <c r="AH19" s="177"/>
      <c r="AI19" s="178" t="str">
        <f>$D$7</f>
        <v>NRC</v>
      </c>
      <c r="AJ19" s="179"/>
      <c r="AK19" s="177" t="s">
        <v>21</v>
      </c>
      <c r="AL19" s="180" t="s">
        <v>47</v>
      </c>
      <c r="AM19" s="401" t="s">
        <v>48</v>
      </c>
      <c r="AN19" s="402"/>
      <c r="AO19" s="203" t="s">
        <v>48</v>
      </c>
      <c r="AP19" s="181" t="s">
        <v>65</v>
      </c>
      <c r="AQ19" s="181" t="s">
        <v>59</v>
      </c>
      <c r="AR19" s="182" t="s">
        <v>49</v>
      </c>
      <c r="AV19" s="417">
        <v>4</v>
      </c>
      <c r="AW19" s="418"/>
      <c r="AX19" s="409" t="s">
        <v>64</v>
      </c>
      <c r="AY19" s="410"/>
      <c r="AZ19" s="210" t="str">
        <f>$H$4</f>
        <v>持点</v>
      </c>
      <c r="BA19" s="176" t="str">
        <f>$D$5</f>
        <v>HRC</v>
      </c>
      <c r="BB19" s="177"/>
      <c r="BC19" s="178" t="str">
        <f>$D$6</f>
        <v>SBC</v>
      </c>
      <c r="BD19" s="177"/>
      <c r="BE19" s="178" t="str">
        <f>$D$7</f>
        <v>NRC</v>
      </c>
      <c r="BF19" s="179"/>
      <c r="BG19" s="200" t="s">
        <v>21</v>
      </c>
      <c r="BH19" s="211" t="s">
        <v>47</v>
      </c>
      <c r="BI19" s="401" t="s">
        <v>48</v>
      </c>
      <c r="BJ19" s="402"/>
      <c r="BK19" s="211" t="s">
        <v>48</v>
      </c>
      <c r="BL19" s="181" t="s">
        <v>65</v>
      </c>
      <c r="BM19" s="181" t="s">
        <v>59</v>
      </c>
      <c r="BN19" s="212" t="s">
        <v>49</v>
      </c>
    </row>
    <row r="20" spans="1:66" s="7" customFormat="1" ht="12">
      <c r="A20" s="7">
        <v>3</v>
      </c>
      <c r="B20" s="7">
        <v>4</v>
      </c>
      <c r="D20" s="419" t="str">
        <f>$D$5</f>
        <v>HRC</v>
      </c>
      <c r="E20" s="420"/>
      <c r="F20" s="411" t="str">
        <f>VLOOKUP(VALUE($A20&amp;$D19),【準備】登録!$AI$5:$AL$28,3,FALSE)</f>
        <v>宮井健太郎</v>
      </c>
      <c r="G20" s="412"/>
      <c r="H20" s="183">
        <f>VLOOKUP(F20,【準備】登録!$AK$4:$AL$27,2,FALSE)</f>
        <v>180</v>
      </c>
      <c r="I20" s="430"/>
      <c r="J20" s="431"/>
      <c r="K20" s="423" t="str">
        <f>IF(ISERROR(VLOOKUP($F20&amp;$D$3&amp;K$4,【進行】結果入力表!$Q$7:$V$150,2,FALSE)),"",VLOOKUP($F20&amp;$D$3&amp;K$4,【進行】結果入力表!$Q$7:$V$150,2,FALSE))</f>
        <v>w</v>
      </c>
      <c r="L20" s="432"/>
      <c r="M20" s="423">
        <f>IF(ISERROR(VLOOKUP($F20&amp;$D$3&amp;M$4,【進行】結果入力表!$Q$7:$V$150,2,FALSE)),"",VLOOKUP($F20&amp;$D$3&amp;M$4,【進行】結果入力表!$Q$7:$V$150,2,FALSE))</f>
        <v>147</v>
      </c>
      <c r="N20" s="424"/>
      <c r="O20" s="184">
        <f>IF(M20="","",COUNTIF(I20:N20,"w"))</f>
        <v>1</v>
      </c>
      <c r="P20" s="185">
        <f>IF(M20="","",COUNT(K20,M20))</f>
        <v>1</v>
      </c>
      <c r="Q20" s="403">
        <f>SUM(I20:N20)+O20*H20</f>
        <v>327</v>
      </c>
      <c r="R20" s="404"/>
      <c r="S20" s="185">
        <f>IF(M20="","",Q20/H20*180)</f>
        <v>327</v>
      </c>
      <c r="T20" s="186">
        <f>IF(I21="w",180,I21/H20*180)+IF(I22="w",180,I22/H20*180)</f>
        <v>216</v>
      </c>
      <c r="U20" s="186">
        <f>O20*10000000+S20*O10019*10000000+S20*1000-T20</f>
        <v>10326784</v>
      </c>
      <c r="V20" s="187">
        <f>IF(M20="","",RANK(U20:U22,U20:U22,0))</f>
        <v>1</v>
      </c>
      <c r="X20" s="7">
        <v>3</v>
      </c>
      <c r="Y20" s="313">
        <f>IF(【準備】登録!U6=5,1,6)</f>
        <v>6</v>
      </c>
      <c r="Z20" s="419" t="str">
        <f>$D$5</f>
        <v>HRC</v>
      </c>
      <c r="AA20" s="420"/>
      <c r="AB20" s="411" t="str">
        <f>VLOOKUP(VALUE(X20&amp;Y20),【準備】登録!$AI$5:$AL$28,3,FALSE)</f>
        <v>河地恵里</v>
      </c>
      <c r="AC20" s="412"/>
      <c r="AD20" s="183">
        <f>VLOOKUP(AB20,【準備】登録!$AK$4:$AL$27,2,FALSE)</f>
        <v>140</v>
      </c>
      <c r="AE20" s="430"/>
      <c r="AF20" s="431"/>
      <c r="AG20" s="423">
        <f>IF(ISERROR(VLOOKUP($AB20&amp;$Z$3&amp;AG$4,【進行】結果入力表!$Q$7:$V$150,2,FALSE)),"",VLOOKUP($AB20&amp;$Z$3&amp;AG$4,【進行】結果入力表!$Q$7:$V$150,2,FALSE))</f>
        <v>52</v>
      </c>
      <c r="AH20" s="432"/>
      <c r="AI20" s="423" t="str">
        <f>IF(ISERROR(VLOOKUP($AB20&amp;$Z$3&amp;AI$4,【進行】結果入力表!$Q$7:$V$150,2,FALSE)),"",VLOOKUP($AB20&amp;$Z$3&amp;AI$4,【進行】結果入力表!$Q$7:$V$150,2,FALSE))</f>
        <v>w</v>
      </c>
      <c r="AJ20" s="424"/>
      <c r="AK20" s="184">
        <f>IF(AI20="","",COUNTIF(AE20:AJ20,"w"))</f>
        <v>1</v>
      </c>
      <c r="AL20" s="185">
        <f>IF(AI20="","",COUNT(AG20,AI20))</f>
        <v>1</v>
      </c>
      <c r="AM20" s="403">
        <f>SUM(AE20:AJ20)+AK20*AD20</f>
        <v>192</v>
      </c>
      <c r="AN20" s="404"/>
      <c r="AO20" s="207">
        <f>IF(AI20="","",AM20/AD20*180)</f>
        <v>246.85714285714286</v>
      </c>
      <c r="AP20" s="186">
        <f>IF(AE21="w",180,AE21/AD20*180)+IF(AE22="w",180,AE22/AD20*180)</f>
        <v>203.14285714285714</v>
      </c>
      <c r="AQ20" s="186">
        <f>AK20*10000000+AO20*AK10019*10000000+AO20*1000-AP20</f>
        <v>10246654</v>
      </c>
      <c r="AR20" s="187">
        <f>IF(AI20="","",RANK(AQ20:AQ22,AQ20:AQ22,0))</f>
        <v>2</v>
      </c>
      <c r="AT20" s="7">
        <v>3</v>
      </c>
      <c r="AU20" s="313">
        <f>IF(【準備】登録!U6=5,3,IF(【準備】登録!U6=6,2,IF(【準備】登録!U6=7,1,8)))</f>
        <v>2</v>
      </c>
      <c r="AV20" s="419" t="str">
        <f>$D$5</f>
        <v>HRC</v>
      </c>
      <c r="AW20" s="420"/>
      <c r="AX20" s="411" t="str">
        <f>VLOOKUP(VALUE(AT20&amp;AU20),【準備】登録!$AI$5:$AL$28,3,FALSE)</f>
        <v>堂園雅也</v>
      </c>
      <c r="AY20" s="412"/>
      <c r="AZ20" s="183">
        <f>VLOOKUP(AX20,【準備】登録!$AK$4:$AL$27,2,FALSE)</f>
        <v>180</v>
      </c>
      <c r="BA20" s="430"/>
      <c r="BB20" s="431"/>
      <c r="BC20" s="423">
        <f>IF(ISERROR(VLOOKUP($AX20&amp;$AV$3&amp;BC$4,【進行】結果入力表!$Q$7:$V$150,2,FALSE)),"",VLOOKUP($AX20&amp;$AV$3&amp;BC$4,【進行】結果入力表!$Q$7:$V$150,2,FALSE))</f>
        <v>173</v>
      </c>
      <c r="BD20" s="432"/>
      <c r="BE20" s="423" t="str">
        <f>IF(ISERROR(VLOOKUP($AX20&amp;$AV$3&amp;BE$4,【進行】結果入力表!$Q$7:$V$150,2,FALSE)),"",VLOOKUP($AX20&amp;$AV$3&amp;BE$4,【進行】結果入力表!$Q$7:$V$150,2,FALSE))</f>
        <v>w</v>
      </c>
      <c r="BF20" s="424"/>
      <c r="BG20" s="213">
        <f>IF(BE20="","",COUNTIF(BA20:BF20,"w"))</f>
        <v>1</v>
      </c>
      <c r="BH20" s="214">
        <f>IF(BE20="","",COUNT(BC20,BE20))</f>
        <v>1</v>
      </c>
      <c r="BI20" s="403">
        <f>SUM(BA20:BF20)+BG20*AZ20</f>
        <v>353</v>
      </c>
      <c r="BJ20" s="404"/>
      <c r="BK20" s="265">
        <f>IF(BE20="","",BI20/AZ20*180)</f>
        <v>353</v>
      </c>
      <c r="BL20" s="186">
        <f>IF(BA21="w",180,BA21/AZ20*180)+IF(BA22="w",180,BA22/AZ20*180)</f>
        <v>306</v>
      </c>
      <c r="BM20" s="186">
        <f>BG20*10000000+BK20*BG10019*10000000+BK20*1000-BL20</f>
        <v>10352694</v>
      </c>
      <c r="BN20" s="239">
        <f>IF(BE20="","",RANK(BM20:BM22,BM20:BM22,0))</f>
        <v>2</v>
      </c>
    </row>
    <row r="21" spans="1:66" s="7" customFormat="1" ht="12">
      <c r="A21" s="7">
        <v>2</v>
      </c>
      <c r="B21" s="7">
        <v>4</v>
      </c>
      <c r="D21" s="421" t="str">
        <f>$D$6</f>
        <v>SBC</v>
      </c>
      <c r="E21" s="422"/>
      <c r="F21" s="413" t="str">
        <f>VLOOKUP(VALUE($A21&amp;$D19),【準備】登録!$AI$5:$AL$28,3,FALSE)</f>
        <v>大橋義治</v>
      </c>
      <c r="G21" s="414"/>
      <c r="H21" s="188">
        <f>VLOOKUP(F21,【準備】登録!$AK$4:$AL$27,2,FALSE)</f>
        <v>180</v>
      </c>
      <c r="I21" s="435">
        <f>IF(ISERROR(VLOOKUP($F21&amp;$D$3&amp;I$4,【進行】結果入力表!$Q$7:$V$150,2,FALSE)),"",VLOOKUP($F21&amp;$D$3&amp;I$4,【進行】結果入力表!$Q$7:$V$150,2,FALSE))</f>
        <v>36</v>
      </c>
      <c r="J21" s="436"/>
      <c r="K21" s="437"/>
      <c r="L21" s="438"/>
      <c r="M21" s="439" t="str">
        <f>IF(ISERROR(VLOOKUP($F21&amp;$D$3&amp;M$4,【進行】結果入力表!$Q$7:$V$150,2,FALSE)),"",VLOOKUP($F21&amp;$D$3&amp;M$4,【進行】結果入力表!$Q$7:$V$150,2,FALSE))</f>
        <v>w</v>
      </c>
      <c r="N21" s="440"/>
      <c r="O21" s="189">
        <f>IF(M20="","",COUNTIF(I21:N21,"w"))</f>
        <v>1</v>
      </c>
      <c r="P21" s="190">
        <f>IF(M20="","",COUNT(I21,M21))</f>
        <v>1</v>
      </c>
      <c r="Q21" s="405">
        <f>SUM(I21:N21)+O21*H21</f>
        <v>216</v>
      </c>
      <c r="R21" s="406"/>
      <c r="S21" s="190">
        <f>IF(M20="","",Q21/H21*180)</f>
        <v>216</v>
      </c>
      <c r="T21" s="191">
        <f>IF(K20="w",180,K20/H21*180)+IF(K22="w",180,K22/H21*180)</f>
        <v>300</v>
      </c>
      <c r="U21" s="191">
        <f>O21*10000000+S21*O10020*10000000+S21*1000-T21</f>
        <v>10215700</v>
      </c>
      <c r="V21" s="192">
        <f>IF(M20="","",RANK(U20:U22,U20:U22,0))</f>
        <v>3</v>
      </c>
      <c r="X21" s="7">
        <v>2</v>
      </c>
      <c r="Y21" s="7">
        <v>5</v>
      </c>
      <c r="Z21" s="421" t="str">
        <f>$D$6</f>
        <v>SBC</v>
      </c>
      <c r="AA21" s="422"/>
      <c r="AB21" s="413" t="str">
        <f>VLOOKUP(VALUE(X21&amp;Y21),【準備】登録!$AI$5:$AL$28,3,FALSE)</f>
        <v>山中康寛</v>
      </c>
      <c r="AC21" s="414"/>
      <c r="AD21" s="188">
        <f>VLOOKUP(AB21,【準備】登録!$AK$4:$AL$27,2,FALSE)</f>
        <v>180</v>
      </c>
      <c r="AE21" s="435" t="str">
        <f>IF(ISERROR(VLOOKUP($AB21&amp;$Z$3&amp;AE$4,【進行】結果入力表!$Q$7:$V$150,2,FALSE)),"",VLOOKUP($AB21&amp;$Z$3&amp;AE$4,【進行】結果入力表!$Q$7:$V$150,2,FALSE))</f>
        <v>w</v>
      </c>
      <c r="AF21" s="436"/>
      <c r="AG21" s="437"/>
      <c r="AH21" s="438"/>
      <c r="AI21" s="439" t="str">
        <f>IF(ISERROR(VLOOKUP($AB21&amp;$Z$3&amp;AI$4,【進行】結果入力表!$Q$7:$V$150,2,FALSE)),"",VLOOKUP($AB21&amp;$Z$3&amp;AI$4,【進行】結果入力表!$Q$7:$V$150,2,FALSE))</f>
        <v>w</v>
      </c>
      <c r="AJ21" s="440"/>
      <c r="AK21" s="189">
        <f>IF(AI20="","",COUNTIF(AE21:AJ21,"w"))</f>
        <v>2</v>
      </c>
      <c r="AL21" s="190">
        <f>IF(AI20="","",COUNT(AE21,AI21))</f>
        <v>0</v>
      </c>
      <c r="AM21" s="405">
        <f>SUM(AE21:AJ21)+AK21*AD21</f>
        <v>360</v>
      </c>
      <c r="AN21" s="406"/>
      <c r="AO21" s="204">
        <f>IF(AI20="","",AM21/AD21*180)</f>
        <v>360</v>
      </c>
      <c r="AP21" s="191">
        <f>IF(AG20="w",180,AG20/AD21*180)+IF(AG22="w",180,AG22/AD21*180)</f>
        <v>84</v>
      </c>
      <c r="AQ21" s="191">
        <f>AK21*10000000+AO21*AK10020*10000000+AO21*1000-AP21</f>
        <v>20359916</v>
      </c>
      <c r="AR21" s="192">
        <f>IF(AI20="","",RANK(AQ20:AQ22,AQ20:AQ22,0))</f>
        <v>1</v>
      </c>
      <c r="AT21" s="7">
        <v>2</v>
      </c>
      <c r="AU21" s="313">
        <f>IF(【準備】登録!U6=5,1,6)</f>
        <v>6</v>
      </c>
      <c r="AV21" s="421" t="str">
        <f>$D$6</f>
        <v>SBC</v>
      </c>
      <c r="AW21" s="422"/>
      <c r="AX21" s="413" t="str">
        <f>VLOOKUP(VALUE(AT21&amp;AU21),【準備】登録!$AI$5:$AL$28,3,FALSE)</f>
        <v>大橋洋子</v>
      </c>
      <c r="AY21" s="414"/>
      <c r="AZ21" s="188">
        <f>VLOOKUP(AX21,【準備】登録!$AK$4:$AL$27,2,FALSE)</f>
        <v>140</v>
      </c>
      <c r="BA21" s="435" t="str">
        <f>IF(ISERROR(VLOOKUP($AX21&amp;$AV$3&amp;BA$4,【進行】結果入力表!$Q$7:$V$150,2,FALSE)),"",VLOOKUP($AX21&amp;$AV$3&amp;BA$4,【進行】結果入力表!$Q$7:$V$150,2,FALSE))</f>
        <v>w</v>
      </c>
      <c r="BB21" s="436"/>
      <c r="BC21" s="437"/>
      <c r="BD21" s="438"/>
      <c r="BE21" s="439" t="str">
        <f>IF(ISERROR(VLOOKUP($AX21&amp;$AV$3&amp;BE$4,【進行】結果入力表!$Q$7:$V$150,2,FALSE)),"",VLOOKUP($AX21&amp;$AV$3&amp;BE$4,【進行】結果入力表!$Q$7:$V$150,2,FALSE))</f>
        <v>w</v>
      </c>
      <c r="BF21" s="440"/>
      <c r="BG21" s="216">
        <f>IF(BE20="","",COUNTIF(BA21:BF21,"w"))</f>
        <v>2</v>
      </c>
      <c r="BH21" s="217">
        <f>IF(BE20="","",COUNT(BA21,BE21))</f>
        <v>0</v>
      </c>
      <c r="BI21" s="405">
        <f>SUM(BA21:BF21)+BG21*AZ21</f>
        <v>280</v>
      </c>
      <c r="BJ21" s="406"/>
      <c r="BK21" s="264">
        <f>IF(BE20="","",BI21/AZ21*180)</f>
        <v>360</v>
      </c>
      <c r="BL21" s="191">
        <f>IF(BC20="w",180,BC20/AZ21*180)+IF(BC22="w",180,BC22/AZ21*180)</f>
        <v>447.42857142857144</v>
      </c>
      <c r="BM21" s="191">
        <f>BG21*10000000+BK21*BG10020*10000000+BK21*1000-BL21</f>
        <v>20359552.571428571</v>
      </c>
      <c r="BN21" s="240">
        <f>IF(BE20="","",RANK(BM20:BM22,BM20:BM22,0))</f>
        <v>1</v>
      </c>
    </row>
    <row r="22" spans="1:66" s="7" customFormat="1" ht="12">
      <c r="A22" s="7">
        <v>1</v>
      </c>
      <c r="B22" s="7">
        <v>4</v>
      </c>
      <c r="D22" s="407" t="str">
        <f>$D$7</f>
        <v>NRC</v>
      </c>
      <c r="E22" s="408"/>
      <c r="F22" s="415" t="str">
        <f>VLOOKUP(VALUE($A22&amp;$D19),【準備】登録!$AI$5:$AL$28,3,FALSE)</f>
        <v>井本高史</v>
      </c>
      <c r="G22" s="416"/>
      <c r="H22" s="193">
        <f>VLOOKUP(F22,【準備】登録!$AK$4:$AL$27,2,FALSE)</f>
        <v>180</v>
      </c>
      <c r="I22" s="425" t="str">
        <f>IF(ISERROR(VLOOKUP($F22&amp;$D$3&amp;I$4,【進行】結果入力表!$Q$7:$V$150,2,FALSE)),"",VLOOKUP($F22&amp;$D$3&amp;I$4,【進行】結果入力表!$Q$7:$V$150,2,FALSE))</f>
        <v>w</v>
      </c>
      <c r="J22" s="426"/>
      <c r="K22" s="427">
        <f>IF(ISERROR(VLOOKUP($F22&amp;$D$3&amp;K$4,【進行】結果入力表!$Q$7:$V$150,2,FALSE)),"",VLOOKUP($F22&amp;$D$3&amp;K$4,【進行】結果入力表!$Q$7:$V$150,2,FALSE))</f>
        <v>120</v>
      </c>
      <c r="L22" s="426"/>
      <c r="M22" s="428"/>
      <c r="N22" s="429"/>
      <c r="O22" s="194">
        <f>IF(M20="","",COUNTIF(I22:N22,"w"))</f>
        <v>1</v>
      </c>
      <c r="P22" s="195">
        <f>IF(M20="","",COUNT(I22,K22))</f>
        <v>1</v>
      </c>
      <c r="Q22" s="433">
        <f>SUM(I22:N22)+O22*H22</f>
        <v>300</v>
      </c>
      <c r="R22" s="434"/>
      <c r="S22" s="195">
        <f>IF(M20="","",Q22/H22*180)</f>
        <v>300</v>
      </c>
      <c r="T22" s="196">
        <f>IF(M20="w",180,M20/H22*180)+IF(M21="w",180,M21/H22*180)</f>
        <v>327</v>
      </c>
      <c r="U22" s="196">
        <f>O22*10000000+S22*O10021*10000000+S22*1000-T22</f>
        <v>10299673</v>
      </c>
      <c r="V22" s="197">
        <f>IF(M20="","",RANK(U20:U22,U20:U22,0))</f>
        <v>2</v>
      </c>
      <c r="X22" s="7">
        <v>1</v>
      </c>
      <c r="Y22" s="7">
        <v>4</v>
      </c>
      <c r="Z22" s="407" t="str">
        <f>$D$7</f>
        <v>NRC</v>
      </c>
      <c r="AA22" s="408"/>
      <c r="AB22" s="415" t="str">
        <f>VLOOKUP(VALUE(X22&amp;Y22),【準備】登録!$AI$5:$AL$28,3,FALSE)</f>
        <v>井本高史</v>
      </c>
      <c r="AC22" s="416"/>
      <c r="AD22" s="193">
        <f>VLOOKUP(AB22,【準備】登録!$AK$4:$AL$27,2,FALSE)</f>
        <v>180</v>
      </c>
      <c r="AE22" s="425">
        <f>IF(ISERROR(VLOOKUP($AB22&amp;$Z$3&amp;AE$4,【進行】結果入力表!$Q$7:$V$150,2,FALSE)),"",VLOOKUP($AB22&amp;$Z$3&amp;AE$4,【進行】結果入力表!$Q$7:$V$150,2,FALSE))</f>
        <v>18</v>
      </c>
      <c r="AF22" s="426"/>
      <c r="AG22" s="427">
        <f>IF(ISERROR(VLOOKUP($AB22&amp;$Z$3&amp;AG$4,【進行】結果入力表!$Q$7:$V$150,2,FALSE)),"",VLOOKUP($AB22&amp;$Z$3&amp;AG$4,【進行】結果入力表!$Q$7:$V$150,2,FALSE))</f>
        <v>32</v>
      </c>
      <c r="AH22" s="426"/>
      <c r="AI22" s="428"/>
      <c r="AJ22" s="429"/>
      <c r="AK22" s="194">
        <f>IF(AI20="","",COUNTIF(AE22:AJ22,"w"))</f>
        <v>0</v>
      </c>
      <c r="AL22" s="195">
        <f>IF(AI20="","",COUNT(AE22,AG22))</f>
        <v>2</v>
      </c>
      <c r="AM22" s="433">
        <f>SUM(AE22:AJ22)+AK22*AD22</f>
        <v>50</v>
      </c>
      <c r="AN22" s="434"/>
      <c r="AO22" s="205">
        <f>IF(AI20="","",AM22/AD22*180)</f>
        <v>50</v>
      </c>
      <c r="AP22" s="196">
        <f>IF(AI20="w",180,AI20/AD22*180)+IF(AI21="w",180,AI21/AD22*180)</f>
        <v>360</v>
      </c>
      <c r="AQ22" s="196">
        <f>AK22*10000000+AO22*AK10021*10000000+AO22*1000-AP22</f>
        <v>49640</v>
      </c>
      <c r="AR22" s="197">
        <f>IF(AI20="","",RANK(AQ20:AQ22,AQ20:AQ22,0))</f>
        <v>3</v>
      </c>
      <c r="AT22" s="7">
        <v>1</v>
      </c>
      <c r="AU22" s="313">
        <v>4</v>
      </c>
      <c r="AV22" s="407" t="str">
        <f>$D$7</f>
        <v>NRC</v>
      </c>
      <c r="AW22" s="408"/>
      <c r="AX22" s="415" t="str">
        <f>VLOOKUP(VALUE(AT22&amp;AU22),【準備】登録!$AI$5:$AL$28,3,FALSE)</f>
        <v>井本高史</v>
      </c>
      <c r="AY22" s="416"/>
      <c r="AZ22" s="193">
        <f>VLOOKUP(AX22,【準備】登録!$AK$4:$AL$27,2,FALSE)</f>
        <v>180</v>
      </c>
      <c r="BA22" s="425">
        <f>IF(ISERROR(VLOOKUP($AX22&amp;$AV$3&amp;BA$4,【進行】結果入力表!$Q$7:$V$150,2,FALSE)),"",VLOOKUP($AX22&amp;$AV$3&amp;BA$4,【進行】結果入力表!$Q$7:$V$150,2,FALSE))</f>
        <v>126</v>
      </c>
      <c r="BB22" s="426"/>
      <c r="BC22" s="427">
        <f>IF(ISERROR(VLOOKUP($AX22&amp;$AV$3&amp;BC$4,【進行】結果入力表!$Q$7:$V$150,2,FALSE)),"",VLOOKUP($AX22&amp;$AV$3&amp;BC$4,【進行】結果入力表!$Q$7:$V$150,2,FALSE))</f>
        <v>175</v>
      </c>
      <c r="BD22" s="426"/>
      <c r="BE22" s="428"/>
      <c r="BF22" s="429"/>
      <c r="BG22" s="219">
        <f>IF(BE20="","",COUNTIF(BA22:BF22,"w"))</f>
        <v>0</v>
      </c>
      <c r="BH22" s="220">
        <f>IF(BE20="","",COUNT(BA22,BC22))</f>
        <v>2</v>
      </c>
      <c r="BI22" s="433">
        <f>SUM(BA22:BF22)+BG22*AZ22</f>
        <v>301</v>
      </c>
      <c r="BJ22" s="434"/>
      <c r="BK22" s="221">
        <f>IF(BE20="","",BI22/AZ22*180)</f>
        <v>301</v>
      </c>
      <c r="BL22" s="196">
        <f>IF(BE20="w",180,BE20/AZ22*180)+IF(BE21="w",180,BE21/AZ22*180)</f>
        <v>360</v>
      </c>
      <c r="BM22" s="196">
        <f>BG22*10000000+BK22*BG10021*10000000+BK22*1000-BL22</f>
        <v>300640</v>
      </c>
      <c r="BN22" s="241">
        <f>IF(BE20="","",RANK(BM20:BM22,BM20:BM22,0))</f>
        <v>3</v>
      </c>
    </row>
    <row r="23" spans="1:66" s="7" customFormat="1" ht="8.25" customHeight="1">
      <c r="D23" s="198"/>
      <c r="E23" s="198"/>
      <c r="F23" s="198"/>
      <c r="G23" s="198"/>
      <c r="H23" s="199"/>
      <c r="I23" s="198"/>
      <c r="J23" s="198"/>
      <c r="K23" s="198"/>
      <c r="L23" s="198"/>
      <c r="M23" s="198"/>
      <c r="N23" s="198"/>
      <c r="O23" s="198"/>
      <c r="P23" s="198"/>
      <c r="Q23" s="199"/>
      <c r="R23" s="199"/>
      <c r="S23" s="198"/>
      <c r="T23" s="198"/>
      <c r="U23" s="199"/>
      <c r="V23" s="198"/>
      <c r="Z23" s="198"/>
      <c r="AA23" s="198"/>
      <c r="AB23" s="198"/>
      <c r="AC23" s="198"/>
      <c r="AD23" s="199"/>
      <c r="AE23" s="198"/>
      <c r="AF23" s="198"/>
      <c r="AG23" s="198"/>
      <c r="AH23" s="198"/>
      <c r="AI23" s="198"/>
      <c r="AJ23" s="198"/>
      <c r="AK23" s="198"/>
      <c r="AL23" s="198"/>
      <c r="AM23" s="199"/>
      <c r="AN23" s="199"/>
      <c r="AO23" s="206"/>
      <c r="AP23" s="198"/>
      <c r="AQ23" s="199"/>
      <c r="AR23" s="198"/>
      <c r="AU23" s="313"/>
      <c r="AV23" s="198"/>
      <c r="AW23" s="198"/>
      <c r="AX23" s="198"/>
      <c r="AY23" s="198"/>
      <c r="AZ23" s="223"/>
      <c r="BA23" s="198"/>
      <c r="BB23" s="198"/>
      <c r="BC23" s="198"/>
      <c r="BD23" s="198"/>
      <c r="BE23" s="198"/>
      <c r="BF23" s="198"/>
      <c r="BG23" s="222"/>
      <c r="BH23" s="222"/>
      <c r="BI23" s="223"/>
      <c r="BJ23" s="223"/>
      <c r="BK23" s="222"/>
      <c r="BL23" s="198"/>
      <c r="BM23" s="199"/>
      <c r="BN23" s="242"/>
    </row>
    <row r="24" spans="1:66" s="7" customFormat="1" ht="12">
      <c r="D24" s="417">
        <v>5</v>
      </c>
      <c r="E24" s="418"/>
      <c r="F24" s="409" t="s">
        <v>64</v>
      </c>
      <c r="G24" s="410"/>
      <c r="H24" s="175" t="str">
        <f>H$4</f>
        <v>持点</v>
      </c>
      <c r="I24" s="176" t="str">
        <f>$D$5</f>
        <v>HRC</v>
      </c>
      <c r="J24" s="177"/>
      <c r="K24" s="178" t="str">
        <f>$D$6</f>
        <v>SBC</v>
      </c>
      <c r="L24" s="177"/>
      <c r="M24" s="178" t="str">
        <f>$D$7</f>
        <v>NRC</v>
      </c>
      <c r="N24" s="179"/>
      <c r="O24" s="177" t="s">
        <v>21</v>
      </c>
      <c r="P24" s="180" t="s">
        <v>47</v>
      </c>
      <c r="Q24" s="401" t="s">
        <v>48</v>
      </c>
      <c r="R24" s="402"/>
      <c r="S24" s="180" t="s">
        <v>48</v>
      </c>
      <c r="T24" s="181" t="s">
        <v>65</v>
      </c>
      <c r="U24" s="181" t="s">
        <v>59</v>
      </c>
      <c r="V24" s="182" t="s">
        <v>49</v>
      </c>
      <c r="Z24" s="417">
        <v>5</v>
      </c>
      <c r="AA24" s="418"/>
      <c r="AB24" s="409" t="s">
        <v>64</v>
      </c>
      <c r="AC24" s="410"/>
      <c r="AD24" s="175" t="str">
        <f>$H$4</f>
        <v>持点</v>
      </c>
      <c r="AE24" s="176" t="str">
        <f>$D$5</f>
        <v>HRC</v>
      </c>
      <c r="AF24" s="177"/>
      <c r="AG24" s="178" t="str">
        <f>$D$6</f>
        <v>SBC</v>
      </c>
      <c r="AH24" s="177"/>
      <c r="AI24" s="178" t="str">
        <f>$D$7</f>
        <v>NRC</v>
      </c>
      <c r="AJ24" s="179"/>
      <c r="AK24" s="177" t="s">
        <v>21</v>
      </c>
      <c r="AL24" s="180" t="s">
        <v>47</v>
      </c>
      <c r="AM24" s="401" t="s">
        <v>48</v>
      </c>
      <c r="AN24" s="402"/>
      <c r="AO24" s="203" t="s">
        <v>48</v>
      </c>
      <c r="AP24" s="181" t="s">
        <v>65</v>
      </c>
      <c r="AQ24" s="181" t="s">
        <v>59</v>
      </c>
      <c r="AR24" s="182" t="s">
        <v>49</v>
      </c>
      <c r="AU24" s="313"/>
      <c r="AV24" s="417">
        <v>5</v>
      </c>
      <c r="AW24" s="418"/>
      <c r="AX24" s="409" t="s">
        <v>64</v>
      </c>
      <c r="AY24" s="410"/>
      <c r="AZ24" s="210" t="str">
        <f>$H$4</f>
        <v>持点</v>
      </c>
      <c r="BA24" s="176" t="str">
        <f>$D$5</f>
        <v>HRC</v>
      </c>
      <c r="BB24" s="177"/>
      <c r="BC24" s="178" t="str">
        <f>$D$6</f>
        <v>SBC</v>
      </c>
      <c r="BD24" s="177"/>
      <c r="BE24" s="178" t="str">
        <f>$D$7</f>
        <v>NRC</v>
      </c>
      <c r="BF24" s="179"/>
      <c r="BG24" s="200" t="s">
        <v>21</v>
      </c>
      <c r="BH24" s="211" t="s">
        <v>47</v>
      </c>
      <c r="BI24" s="401" t="s">
        <v>48</v>
      </c>
      <c r="BJ24" s="402"/>
      <c r="BK24" s="211" t="s">
        <v>48</v>
      </c>
      <c r="BL24" s="181" t="s">
        <v>65</v>
      </c>
      <c r="BM24" s="181" t="s">
        <v>59</v>
      </c>
      <c r="BN24" s="212" t="s">
        <v>49</v>
      </c>
    </row>
    <row r="25" spans="1:66" s="7" customFormat="1" ht="12">
      <c r="A25" s="7">
        <v>3</v>
      </c>
      <c r="B25" s="7">
        <v>5</v>
      </c>
      <c r="D25" s="419" t="str">
        <f>$D$5</f>
        <v>HRC</v>
      </c>
      <c r="E25" s="420"/>
      <c r="F25" s="411" t="str">
        <f>VLOOKUP(VALUE($A25&amp;$D24),【準備】登録!$AI$5:$AL$28,3,FALSE)</f>
        <v>金井健太郎</v>
      </c>
      <c r="G25" s="412"/>
      <c r="H25" s="183">
        <f>VLOOKUP(F25,【準備】登録!$AK$4:$AL$27,2,FALSE)</f>
        <v>180</v>
      </c>
      <c r="I25" s="430"/>
      <c r="J25" s="431"/>
      <c r="K25" s="423">
        <f>IF(ISERROR(VLOOKUP($F25&amp;$D$3&amp;K$4,【進行】結果入力表!$Q$7:$V$150,2,FALSE)),"",VLOOKUP($F25&amp;$D$3&amp;K$4,【進行】結果入力表!$Q$7:$V$150,2,FALSE))</f>
        <v>25</v>
      </c>
      <c r="L25" s="432"/>
      <c r="M25" s="423">
        <f>IF(ISERROR(VLOOKUP($F25&amp;$D$3&amp;M$4,【進行】結果入力表!$Q$7:$V$150,2,FALSE)),"",VLOOKUP($F25&amp;$D$3&amp;M$4,【進行】結果入力表!$Q$7:$V$150,2,FALSE))</f>
        <v>129</v>
      </c>
      <c r="N25" s="424"/>
      <c r="O25" s="184">
        <f>IF(M25="","",COUNTIF(I25:N25,"w"))</f>
        <v>0</v>
      </c>
      <c r="P25" s="185">
        <f>IF(M25="","",COUNT(K25,M25))</f>
        <v>2</v>
      </c>
      <c r="Q25" s="403">
        <f>SUM(I25:N25)+O25*H25</f>
        <v>154</v>
      </c>
      <c r="R25" s="404"/>
      <c r="S25" s="185">
        <f>IF(M25="","",Q25/H25*180)</f>
        <v>154</v>
      </c>
      <c r="T25" s="186">
        <f>IF(I26="w",180,I26/H25*180)+IF(I27="w",180,I27/H25*180)</f>
        <v>360</v>
      </c>
      <c r="U25" s="186">
        <f>O25*10000000+S25*O10024*10000000+S25*1000-T25</f>
        <v>153640</v>
      </c>
      <c r="V25" s="187">
        <f>IF(M25="","",RANK(U25:U27,U25:U27,0))</f>
        <v>3</v>
      </c>
      <c r="X25" s="7">
        <v>3</v>
      </c>
      <c r="Y25" s="313">
        <f>IF(【準備】登録!U6=5,2,IF(【準備】登録!U6=6,1,7))</f>
        <v>1</v>
      </c>
      <c r="Z25" s="419" t="str">
        <f>$D$5</f>
        <v>HRC</v>
      </c>
      <c r="AA25" s="420"/>
      <c r="AB25" s="411" t="str">
        <f>VLOOKUP(VALUE(X25&amp;Y25),【準備】登録!$AI$5:$AL$28,3,FALSE)</f>
        <v>宮本一</v>
      </c>
      <c r="AC25" s="412"/>
      <c r="AD25" s="183">
        <f>VLOOKUP(AB25,【準備】登録!$AK$4:$AL$27,2,FALSE)</f>
        <v>180</v>
      </c>
      <c r="AE25" s="430"/>
      <c r="AF25" s="431"/>
      <c r="AG25" s="423" t="str">
        <f>IF(ISERROR(VLOOKUP($AB25&amp;$Z$3&amp;AG$4,【進行】結果入力表!$Q$7:$V$150,2,FALSE)),"",VLOOKUP($AB25&amp;$Z$3&amp;AG$4,【進行】結果入力表!$Q$7:$V$150,2,FALSE))</f>
        <v>w</v>
      </c>
      <c r="AH25" s="432"/>
      <c r="AI25" s="423">
        <f>IF(ISERROR(VLOOKUP($AB25&amp;$Z$3&amp;AI$4,【進行】結果入力表!$Q$7:$V$150,2,FALSE)),"",VLOOKUP($AB25&amp;$Z$3&amp;AI$4,【進行】結果入力表!$Q$7:$V$150,2,FALSE))</f>
        <v>148</v>
      </c>
      <c r="AJ25" s="424"/>
      <c r="AK25" s="184">
        <f>IF(AI25="","",COUNTIF(AE25:AJ25,"w"))</f>
        <v>1</v>
      </c>
      <c r="AL25" s="185">
        <f>IF(AI25="","",COUNT(AG25,AI25))</f>
        <v>1</v>
      </c>
      <c r="AM25" s="403">
        <f>SUM(AE25:AJ25)+AK25*AD25</f>
        <v>328</v>
      </c>
      <c r="AN25" s="404"/>
      <c r="AO25" s="207">
        <f>IF(AI25="","",AM25/AD25*180)</f>
        <v>328</v>
      </c>
      <c r="AP25" s="186">
        <f>IF(AE26="w",180,AE26/AD25*180)+IF(AE27="w",180,AE27/AD25*180)</f>
        <v>191</v>
      </c>
      <c r="AQ25" s="186">
        <f>AK25*10000000+AO25*AK10024*10000000+AO25*1000-AP25</f>
        <v>10327809</v>
      </c>
      <c r="AR25" s="187">
        <f>IF(AI25="","",RANK(AQ25:AQ27,AQ25:AQ27,0))</f>
        <v>2</v>
      </c>
      <c r="AT25" s="7">
        <v>3</v>
      </c>
      <c r="AU25" s="313">
        <f>IF(【準備】登録!U6=5,4,IF(【準備】登録!U6=6,3,IF(【準備】登録!U6=7,2,1)))</f>
        <v>3</v>
      </c>
      <c r="AV25" s="419" t="str">
        <f>$D$5</f>
        <v>HRC</v>
      </c>
      <c r="AW25" s="420"/>
      <c r="AX25" s="411" t="str">
        <f>VLOOKUP(VALUE(AT25&amp;AU25),【準備】登録!$AI$5:$AL$28,3,FALSE)</f>
        <v>平井洸志</v>
      </c>
      <c r="AY25" s="412"/>
      <c r="AZ25" s="183">
        <f>VLOOKUP(AX25,【準備】登録!$AK$4:$AL$27,2,FALSE)</f>
        <v>180</v>
      </c>
      <c r="BA25" s="430"/>
      <c r="BB25" s="431"/>
      <c r="BC25" s="423">
        <f>IF(ISERROR(VLOOKUP($AX25&amp;$AV$3&amp;BC$4,【進行】結果入力表!$Q$7:$V$150,2,FALSE)),"",VLOOKUP($AX25&amp;$AV$3&amp;BC$4,【進行】結果入力表!$Q$7:$V$150,2,FALSE))</f>
        <v>49</v>
      </c>
      <c r="BD25" s="432"/>
      <c r="BE25" s="423">
        <f>IF(ISERROR(VLOOKUP($AX25&amp;$AV$3&amp;BE$4,【進行】結果入力表!$Q$7:$V$150,2,FALSE)),"",VLOOKUP($AX25&amp;$AV$3&amp;BE$4,【進行】結果入力表!$Q$7:$V$150,2,FALSE))</f>
        <v>148</v>
      </c>
      <c r="BF25" s="424"/>
      <c r="BG25" s="213">
        <f>IF(BE25="","",COUNTIF(BA25:BF25,"w"))</f>
        <v>0</v>
      </c>
      <c r="BH25" s="214">
        <f>IF(BE25="","",COUNT(BC25,BE25))</f>
        <v>2</v>
      </c>
      <c r="BI25" s="403">
        <f>SUM(BA25:BF25)+BG25*AZ25</f>
        <v>197</v>
      </c>
      <c r="BJ25" s="404"/>
      <c r="BK25" s="215">
        <f>IF(BE25="","",BI25/AZ25*180)</f>
        <v>197.00000000000003</v>
      </c>
      <c r="BL25" s="186">
        <f>IF(BA26="w",180,BA26/AZ25*180)+IF(BA27="w",180,BA27/AZ25*180)</f>
        <v>360</v>
      </c>
      <c r="BM25" s="186">
        <f>BG25*10000000+BK25*BG10024*10000000+BK25*1000-BL25</f>
        <v>196640.00000000003</v>
      </c>
      <c r="BN25" s="239">
        <f>IF(BE25="","",RANK(BM25:BM27,BM25:BM27,0))</f>
        <v>3</v>
      </c>
    </row>
    <row r="26" spans="1:66" s="7" customFormat="1" ht="12">
      <c r="A26" s="7">
        <v>2</v>
      </c>
      <c r="B26" s="7">
        <v>5</v>
      </c>
      <c r="D26" s="421" t="str">
        <f>$D$6</f>
        <v>SBC</v>
      </c>
      <c r="E26" s="422"/>
      <c r="F26" s="413" t="str">
        <f>VLOOKUP(VALUE($A26&amp;$D24),【準備】登録!$AI$5:$AL$28,3,FALSE)</f>
        <v>山中康寛</v>
      </c>
      <c r="G26" s="414"/>
      <c r="H26" s="188">
        <f>VLOOKUP(F26,【準備】登録!$AK$4:$AL$27,2,FALSE)</f>
        <v>180</v>
      </c>
      <c r="I26" s="435" t="str">
        <f>IF(ISERROR(VLOOKUP($F26&amp;$D$3&amp;I$4,【進行】結果入力表!$Q$7:$V$150,2,FALSE)),"",VLOOKUP($F26&amp;$D$3&amp;I$4,【進行】結果入力表!$Q$7:$V$150,2,FALSE))</f>
        <v>w</v>
      </c>
      <c r="J26" s="436"/>
      <c r="K26" s="437"/>
      <c r="L26" s="438"/>
      <c r="M26" s="439">
        <f>IF(ISERROR(VLOOKUP($F26&amp;$D$3&amp;M$4,【進行】結果入力表!$Q$7:$V$150,2,FALSE)),"",VLOOKUP($F26&amp;$D$3&amp;M$4,【進行】結果入力表!$Q$7:$V$150,2,FALSE))</f>
        <v>159</v>
      </c>
      <c r="N26" s="440"/>
      <c r="O26" s="189">
        <f>IF(M25="","",COUNTIF(I26:N26,"w"))</f>
        <v>1</v>
      </c>
      <c r="P26" s="190">
        <f>IF(M25="","",COUNT(I26,M26))</f>
        <v>1</v>
      </c>
      <c r="Q26" s="405">
        <f>SUM(I26:N26)+O26*H26</f>
        <v>339</v>
      </c>
      <c r="R26" s="406"/>
      <c r="S26" s="190">
        <f>IF(M25="","",Q26/H26*180)</f>
        <v>339</v>
      </c>
      <c r="T26" s="191">
        <f>IF(K25="w",180,K25/H26*180)+IF(K27="w",180,K27/H26*180)</f>
        <v>205</v>
      </c>
      <c r="U26" s="191">
        <f>O26*10000000+S26*O10025*10000000+S26*1000-T26</f>
        <v>10338795</v>
      </c>
      <c r="V26" s="192">
        <f>IF(M25="","",RANK(U25:U27,U25:U27,0))</f>
        <v>2</v>
      </c>
      <c r="X26" s="7">
        <v>2</v>
      </c>
      <c r="Y26" s="313">
        <f>IF(【準備】登録!U6=5,1,6)</f>
        <v>6</v>
      </c>
      <c r="Z26" s="421" t="str">
        <f>$D$6</f>
        <v>SBC</v>
      </c>
      <c r="AA26" s="422"/>
      <c r="AB26" s="413" t="str">
        <f>VLOOKUP(VALUE(X26&amp;Y26),【準備】登録!$AI$5:$AL$28,3,FALSE)</f>
        <v>大橋洋子</v>
      </c>
      <c r="AC26" s="414"/>
      <c r="AD26" s="188">
        <f>VLOOKUP(AB26,【準備】登録!$AK$4:$AL$27,2,FALSE)</f>
        <v>140</v>
      </c>
      <c r="AE26" s="435">
        <f>IF(ISERROR(VLOOKUP($AB26&amp;$Z$3&amp;AE$4,【進行】結果入力表!$Q$7:$V$150,2,FALSE)),"",VLOOKUP($AB26&amp;$Z$3&amp;AE$4,【進行】結果入力表!$Q$7:$V$150,2,FALSE))</f>
        <v>11</v>
      </c>
      <c r="AF26" s="436"/>
      <c r="AG26" s="437"/>
      <c r="AH26" s="438"/>
      <c r="AI26" s="439">
        <f>IF(ISERROR(VLOOKUP($AB26&amp;$Z$3&amp;AI$4,【進行】結果入力表!$Q$7:$V$150,2,FALSE)),"",VLOOKUP($AB26&amp;$Z$3&amp;AI$4,【進行】結果入力表!$Q$7:$V$150,2,FALSE))</f>
        <v>115</v>
      </c>
      <c r="AJ26" s="440"/>
      <c r="AK26" s="189">
        <f>IF(AI25="","",COUNTIF(AE26:AJ26,"w"))</f>
        <v>0</v>
      </c>
      <c r="AL26" s="190">
        <f>IF(AI25="","",COUNT(AE26,AI26))</f>
        <v>2</v>
      </c>
      <c r="AM26" s="405">
        <f>SUM(AE26:AJ26)+AK26*AD26</f>
        <v>126</v>
      </c>
      <c r="AN26" s="406"/>
      <c r="AO26" s="204">
        <f>IF(AI25="","",AM26/AD26*180)</f>
        <v>162</v>
      </c>
      <c r="AP26" s="191">
        <f>IF(AG25="w",180,AG25/AD26*180)+IF(AG27="w",180,AG27/AD26*180)</f>
        <v>360</v>
      </c>
      <c r="AQ26" s="191">
        <f>AK26*10000000+AO26*AK10025*10000000+AO26*1000-AP26</f>
        <v>161640</v>
      </c>
      <c r="AR26" s="192">
        <f>IF(AI25="","",RANK(AQ25:AQ27,AQ25:AQ27,0))</f>
        <v>3</v>
      </c>
      <c r="AT26" s="7">
        <v>2</v>
      </c>
      <c r="AU26" s="313">
        <f>IF(【準備】登録!U6=5,2,IF(【準備】登録!U6=6,1,7))</f>
        <v>1</v>
      </c>
      <c r="AV26" s="421" t="str">
        <f>$D$6</f>
        <v>SBC</v>
      </c>
      <c r="AW26" s="422"/>
      <c r="AX26" s="413" t="str">
        <f>VLOOKUP(VALUE(AT26&amp;AU26),【準備】登録!$AI$5:$AL$28,3,FALSE)</f>
        <v>大橋正寛</v>
      </c>
      <c r="AY26" s="414"/>
      <c r="AZ26" s="188">
        <f>VLOOKUP(AX26,【準備】登録!$AK$4:$AL$27,2,FALSE)</f>
        <v>180</v>
      </c>
      <c r="BA26" s="435" t="str">
        <f>IF(ISERROR(VLOOKUP($AX26&amp;$AV$3&amp;BA$4,【進行】結果入力表!$Q$7:$V$150,2,FALSE)),"",VLOOKUP($AX26&amp;$AV$3&amp;BA$4,【進行】結果入力表!$Q$7:$V$150,2,FALSE))</f>
        <v>w</v>
      </c>
      <c r="BB26" s="436"/>
      <c r="BC26" s="437"/>
      <c r="BD26" s="438"/>
      <c r="BE26" s="439">
        <f>IF(ISERROR(VLOOKUP($AX26&amp;$AV$3&amp;BE$4,【進行】結果入力表!$Q$7:$V$150,2,FALSE)),"",VLOOKUP($AX26&amp;$AV$3&amp;BE$4,【進行】結果入力表!$Q$7:$V$150,2,FALSE))</f>
        <v>58</v>
      </c>
      <c r="BF26" s="440"/>
      <c r="BG26" s="216">
        <f>IF(BE25="","",COUNTIF(BA26:BF26,"w"))</f>
        <v>1</v>
      </c>
      <c r="BH26" s="217">
        <f>IF(BE25="","",COUNT(BA26,BE26))</f>
        <v>1</v>
      </c>
      <c r="BI26" s="405">
        <f>SUM(BA26:BF26)+BG26*AZ26</f>
        <v>238</v>
      </c>
      <c r="BJ26" s="406"/>
      <c r="BK26" s="218">
        <f>IF(BE25="","",BI26/AZ26*180)</f>
        <v>238</v>
      </c>
      <c r="BL26" s="191">
        <f>IF(BC25="w",180,BC25/AZ26*180)+IF(BC27="w",180,BC27/AZ26*180)</f>
        <v>229</v>
      </c>
      <c r="BM26" s="191">
        <f>BG26*10000000+BK26*BG10025*10000000+BK26*1000-BL26</f>
        <v>10237771</v>
      </c>
      <c r="BN26" s="240">
        <f>IF(BE25="","",RANK(BM25:BM27,BM25:BM27,0))</f>
        <v>2</v>
      </c>
    </row>
    <row r="27" spans="1:66" s="7" customFormat="1" ht="12">
      <c r="A27" s="7">
        <v>1</v>
      </c>
      <c r="B27" s="7">
        <v>5</v>
      </c>
      <c r="D27" s="407" t="str">
        <f>$D$7</f>
        <v>NRC</v>
      </c>
      <c r="E27" s="408"/>
      <c r="F27" s="415" t="str">
        <f>VLOOKUP(VALUE($A27&amp;$D24),【準備】登録!$AI$5:$AL$28,3,FALSE)</f>
        <v>金澤茂昌</v>
      </c>
      <c r="G27" s="416"/>
      <c r="H27" s="193">
        <f>VLOOKUP(F27,【準備】登録!$AK$4:$AL$27,2,FALSE)</f>
        <v>180</v>
      </c>
      <c r="I27" s="425" t="str">
        <f>IF(ISERROR(VLOOKUP($F27&amp;$D$3&amp;I$4,【進行】結果入力表!$Q$7:$V$150,2,FALSE)),"",VLOOKUP($F27&amp;$D$3&amp;I$4,【進行】結果入力表!$Q$7:$V$150,2,FALSE))</f>
        <v>w</v>
      </c>
      <c r="J27" s="426"/>
      <c r="K27" s="427" t="str">
        <f>IF(ISERROR(VLOOKUP($F27&amp;$D$3&amp;K$4,【進行】結果入力表!$Q$7:$V$150,2,FALSE)),"",VLOOKUP($F27&amp;$D$3&amp;K$4,【進行】結果入力表!$Q$7:$V$150,2,FALSE))</f>
        <v>w</v>
      </c>
      <c r="L27" s="426"/>
      <c r="M27" s="428"/>
      <c r="N27" s="429"/>
      <c r="O27" s="194">
        <f>IF(M25="","",COUNTIF(I27:N27,"w"))</f>
        <v>2</v>
      </c>
      <c r="P27" s="195">
        <f>IF(M25="","",COUNT(I27,K27))</f>
        <v>0</v>
      </c>
      <c r="Q27" s="433">
        <f>SUM(I27:N27)+O27*H27</f>
        <v>360</v>
      </c>
      <c r="R27" s="434"/>
      <c r="S27" s="195">
        <f>IF(M25="","",Q27/H27*180)</f>
        <v>360</v>
      </c>
      <c r="T27" s="196">
        <f>IF(M25="w",180,M25/H27*180)+IF(M26="w",180,M26/H27*180)</f>
        <v>288</v>
      </c>
      <c r="U27" s="196">
        <f>O27*10000000+S27*O10026*10000000+S27*1000-T27</f>
        <v>20359712</v>
      </c>
      <c r="V27" s="197">
        <f>IF(M25="","",RANK(U25:U27,U25:U27,0))</f>
        <v>1</v>
      </c>
      <c r="X27" s="7">
        <v>1</v>
      </c>
      <c r="Y27" s="7">
        <v>5</v>
      </c>
      <c r="Z27" s="407" t="str">
        <f>$D$7</f>
        <v>NRC</v>
      </c>
      <c r="AA27" s="408"/>
      <c r="AB27" s="415" t="str">
        <f>VLOOKUP(VALUE(X27&amp;Y27),【準備】登録!$AI$5:$AL$28,3,FALSE)</f>
        <v>金澤茂昌</v>
      </c>
      <c r="AC27" s="416"/>
      <c r="AD27" s="193">
        <f>VLOOKUP(AB27,【準備】登録!$AK$4:$AL$27,2,FALSE)</f>
        <v>180</v>
      </c>
      <c r="AE27" s="425" t="str">
        <f>IF(ISERROR(VLOOKUP($AB27&amp;$Z$3&amp;AE$4,【進行】結果入力表!$Q$7:$V$150,2,FALSE)),"",VLOOKUP($AB27&amp;$Z$3&amp;AE$4,【進行】結果入力表!$Q$7:$V$150,2,FALSE))</f>
        <v>w</v>
      </c>
      <c r="AF27" s="426"/>
      <c r="AG27" s="427" t="str">
        <f>IF(ISERROR(VLOOKUP($AB27&amp;$Z$3&amp;AG$4,【進行】結果入力表!$Q$7:$V$150,2,FALSE)),"",VLOOKUP($AB27&amp;$Z$3&amp;AG$4,【進行】結果入力表!$Q$7:$V$150,2,FALSE))</f>
        <v>w</v>
      </c>
      <c r="AH27" s="426"/>
      <c r="AI27" s="428"/>
      <c r="AJ27" s="429"/>
      <c r="AK27" s="194">
        <f>IF(AI25="","",COUNTIF(AE27:AJ27,"w"))</f>
        <v>2</v>
      </c>
      <c r="AL27" s="195">
        <f>IF(AI25="","",COUNT(AE27,AG27))</f>
        <v>0</v>
      </c>
      <c r="AM27" s="433">
        <f>SUM(AE27:AJ27)+AK27*AD27</f>
        <v>360</v>
      </c>
      <c r="AN27" s="434"/>
      <c r="AO27" s="205">
        <f>IF(AI25="","",AM27/AD27*180)</f>
        <v>360</v>
      </c>
      <c r="AP27" s="196">
        <f>IF(AI25="w",180,AI25/AD27*180)+IF(AI26="w",180,AI26/AD27*180)</f>
        <v>263</v>
      </c>
      <c r="AQ27" s="196">
        <f>AK27*10000000+AO27*AK10026*10000000+AO27*1000-AP27</f>
        <v>20359737</v>
      </c>
      <c r="AR27" s="197">
        <f>IF(AI25="","",RANK(AQ25:AQ27,AQ25:AQ27,0))</f>
        <v>1</v>
      </c>
      <c r="AT27" s="7">
        <v>1</v>
      </c>
      <c r="AU27" s="313">
        <v>5</v>
      </c>
      <c r="AV27" s="407" t="str">
        <f>$D$7</f>
        <v>NRC</v>
      </c>
      <c r="AW27" s="408"/>
      <c r="AX27" s="415" t="str">
        <f>VLOOKUP(VALUE(AT27&amp;AU27),【準備】登録!$AI$5:$AL$28,3,FALSE)</f>
        <v>金澤茂昌</v>
      </c>
      <c r="AY27" s="416"/>
      <c r="AZ27" s="193">
        <f>VLOOKUP(AX27,【準備】登録!$AK$4:$AL$27,2,FALSE)</f>
        <v>180</v>
      </c>
      <c r="BA27" s="425" t="str">
        <f>IF(ISERROR(VLOOKUP($AX27&amp;$AV$3&amp;BA$4,【進行】結果入力表!$Q$7:$V$150,2,FALSE)),"",VLOOKUP($AX27&amp;$AV$3&amp;BA$4,【進行】結果入力表!$Q$7:$V$150,2,FALSE))</f>
        <v>w</v>
      </c>
      <c r="BB27" s="426"/>
      <c r="BC27" s="427" t="str">
        <f>IF(ISERROR(VLOOKUP($AX27&amp;$AV$3&amp;BC$4,【進行】結果入力表!$Q$7:$V$150,2,FALSE)),"",VLOOKUP($AX27&amp;$AV$3&amp;BC$4,【進行】結果入力表!$Q$7:$V$150,2,FALSE))</f>
        <v>w</v>
      </c>
      <c r="BD27" s="426"/>
      <c r="BE27" s="428"/>
      <c r="BF27" s="429"/>
      <c r="BG27" s="219">
        <f>IF(BE25="","",COUNTIF(BA27:BF27,"w"))</f>
        <v>2</v>
      </c>
      <c r="BH27" s="220">
        <f>IF(BE25="","",COUNT(BA27,BC27))</f>
        <v>0</v>
      </c>
      <c r="BI27" s="433">
        <f>SUM(BA27:BF27)+BG27*AZ27</f>
        <v>360</v>
      </c>
      <c r="BJ27" s="434"/>
      <c r="BK27" s="221">
        <f>IF(BE25="","",BI27/AZ27*180)</f>
        <v>360</v>
      </c>
      <c r="BL27" s="196">
        <f>IF(BE25="w",180,BE25/AZ27*180)+IF(BE26="w",180,BE26/AZ27*180)</f>
        <v>206</v>
      </c>
      <c r="BM27" s="196">
        <f>BG27*10000000+BK27*BG10026*10000000+BK27*1000-BL27</f>
        <v>20359794</v>
      </c>
      <c r="BN27" s="241">
        <f>IF(BE25="","",RANK(BM25:BM27,BM25:BM27,0))</f>
        <v>1</v>
      </c>
    </row>
    <row r="28" spans="1:66" s="7" customFormat="1" ht="8.25" customHeight="1">
      <c r="D28" s="198"/>
      <c r="E28" s="198"/>
      <c r="F28" s="198"/>
      <c r="G28" s="198"/>
      <c r="H28" s="199"/>
      <c r="I28" s="198"/>
      <c r="J28" s="198"/>
      <c r="K28" s="198"/>
      <c r="L28" s="198"/>
      <c r="M28" s="198"/>
      <c r="N28" s="198"/>
      <c r="O28" s="198"/>
      <c r="P28" s="198"/>
      <c r="Q28" s="199"/>
      <c r="R28" s="199"/>
      <c r="S28" s="198"/>
      <c r="T28" s="198"/>
      <c r="U28" s="199"/>
      <c r="V28" s="198"/>
      <c r="Z28" s="198"/>
      <c r="AA28" s="198"/>
      <c r="AB28" s="198"/>
      <c r="AC28" s="198"/>
      <c r="AD28" s="199"/>
      <c r="AE28" s="198"/>
      <c r="AF28" s="198"/>
      <c r="AG28" s="198"/>
      <c r="AH28" s="198"/>
      <c r="AI28" s="198"/>
      <c r="AJ28" s="198"/>
      <c r="AK28" s="198"/>
      <c r="AL28" s="198"/>
      <c r="AM28" s="199"/>
      <c r="AN28" s="199"/>
      <c r="AO28" s="206"/>
      <c r="AP28" s="198"/>
      <c r="AQ28" s="199"/>
      <c r="AR28" s="198"/>
      <c r="AV28" s="198"/>
      <c r="AW28" s="198"/>
      <c r="AX28" s="198"/>
      <c r="AY28" s="198"/>
      <c r="AZ28" s="223"/>
      <c r="BA28" s="198"/>
      <c r="BB28" s="198"/>
      <c r="BC28" s="198"/>
      <c r="BD28" s="198"/>
      <c r="BE28" s="198"/>
      <c r="BF28" s="198"/>
      <c r="BG28" s="222"/>
      <c r="BH28" s="222"/>
      <c r="BI28" s="223"/>
      <c r="BJ28" s="223"/>
      <c r="BK28" s="222"/>
      <c r="BL28" s="198"/>
      <c r="BM28" s="199"/>
      <c r="BN28" s="242"/>
    </row>
    <row r="29" spans="1:66" s="7" customFormat="1" ht="12">
      <c r="D29" s="417">
        <v>6</v>
      </c>
      <c r="E29" s="418"/>
      <c r="F29" s="409" t="s">
        <v>64</v>
      </c>
      <c r="G29" s="410"/>
      <c r="H29" s="175" t="str">
        <f>H$4</f>
        <v>持点</v>
      </c>
      <c r="I29" s="176" t="str">
        <f>$D$5</f>
        <v>HRC</v>
      </c>
      <c r="J29" s="177"/>
      <c r="K29" s="178" t="str">
        <f>$D$6</f>
        <v>SBC</v>
      </c>
      <c r="L29" s="177"/>
      <c r="M29" s="178" t="str">
        <f>$D$7</f>
        <v>NRC</v>
      </c>
      <c r="N29" s="179"/>
      <c r="O29" s="177" t="s">
        <v>21</v>
      </c>
      <c r="P29" s="180" t="s">
        <v>47</v>
      </c>
      <c r="Q29" s="401" t="s">
        <v>48</v>
      </c>
      <c r="R29" s="402"/>
      <c r="S29" s="180" t="s">
        <v>48</v>
      </c>
      <c r="T29" s="181" t="s">
        <v>65</v>
      </c>
      <c r="U29" s="181" t="s">
        <v>59</v>
      </c>
      <c r="V29" s="182" t="s">
        <v>49</v>
      </c>
      <c r="Z29" s="417">
        <v>6</v>
      </c>
      <c r="AA29" s="418"/>
      <c r="AB29" s="409" t="s">
        <v>64</v>
      </c>
      <c r="AC29" s="410"/>
      <c r="AD29" s="175" t="str">
        <f>$H$4</f>
        <v>持点</v>
      </c>
      <c r="AE29" s="176" t="str">
        <f>$D$5</f>
        <v>HRC</v>
      </c>
      <c r="AF29" s="177"/>
      <c r="AG29" s="178" t="str">
        <f>$D$6</f>
        <v>SBC</v>
      </c>
      <c r="AH29" s="177"/>
      <c r="AI29" s="178" t="str">
        <f>$D$7</f>
        <v>NRC</v>
      </c>
      <c r="AJ29" s="179"/>
      <c r="AK29" s="177" t="s">
        <v>21</v>
      </c>
      <c r="AL29" s="180" t="s">
        <v>47</v>
      </c>
      <c r="AM29" s="401" t="s">
        <v>48</v>
      </c>
      <c r="AN29" s="402"/>
      <c r="AO29" s="203" t="s">
        <v>48</v>
      </c>
      <c r="AP29" s="181" t="s">
        <v>65</v>
      </c>
      <c r="AQ29" s="181" t="s">
        <v>59</v>
      </c>
      <c r="AR29" s="182" t="s">
        <v>49</v>
      </c>
      <c r="AV29" s="417">
        <v>6</v>
      </c>
      <c r="AW29" s="418"/>
      <c r="AX29" s="409" t="s">
        <v>64</v>
      </c>
      <c r="AY29" s="410"/>
      <c r="AZ29" s="210" t="str">
        <f>$H$4</f>
        <v>持点</v>
      </c>
      <c r="BA29" s="176" t="str">
        <f>$D$5</f>
        <v>HRC</v>
      </c>
      <c r="BB29" s="177"/>
      <c r="BC29" s="178" t="str">
        <f>$D$6</f>
        <v>SBC</v>
      </c>
      <c r="BD29" s="177"/>
      <c r="BE29" s="178" t="str">
        <f>$D$7</f>
        <v>NRC</v>
      </c>
      <c r="BF29" s="179"/>
      <c r="BG29" s="200" t="s">
        <v>21</v>
      </c>
      <c r="BH29" s="211" t="s">
        <v>47</v>
      </c>
      <c r="BI29" s="401" t="s">
        <v>48</v>
      </c>
      <c r="BJ29" s="402"/>
      <c r="BK29" s="211" t="s">
        <v>48</v>
      </c>
      <c r="BL29" s="181" t="s">
        <v>65</v>
      </c>
      <c r="BM29" s="181" t="s">
        <v>59</v>
      </c>
      <c r="BN29" s="212" t="s">
        <v>49</v>
      </c>
    </row>
    <row r="30" spans="1:66" s="7" customFormat="1" ht="12">
      <c r="A30" s="7">
        <v>3</v>
      </c>
      <c r="B30" s="7">
        <v>6</v>
      </c>
      <c r="D30" s="419" t="str">
        <f>IF(【準備】登録!$U$6&lt;D29,"",D25)</f>
        <v>HRC</v>
      </c>
      <c r="E30" s="420"/>
      <c r="F30" s="411" t="str">
        <f>IF(VLOOKUP(VALUE($A30&amp;$D29),【準備】登録!$AI$5:$AL$28,3,FALSE)=0,"",VLOOKUP(VALUE($A30&amp;$D29),【準備】登録!$AI$5:$AL$28,3,FALSE))</f>
        <v>河地恵里</v>
      </c>
      <c r="G30" s="412"/>
      <c r="H30" s="183">
        <f>VLOOKUP(F30,【準備】登録!$AK$4:$AL$27,2,FALSE)</f>
        <v>140</v>
      </c>
      <c r="I30" s="430"/>
      <c r="J30" s="431"/>
      <c r="K30" s="423">
        <f>IF(ISERROR(VLOOKUP($F30&amp;$D$3&amp;K$4,【進行】結果入力表!$Q$7:$V$150,2,FALSE)),"",VLOOKUP($F30&amp;$D$3&amp;K$4,【進行】結果入力表!$Q$7:$V$150,2,FALSE))</f>
        <v>139</v>
      </c>
      <c r="L30" s="432"/>
      <c r="M30" s="423" t="str">
        <f>IF(ISERROR(VLOOKUP($F30&amp;$D$3&amp;M$4,【進行】結果入力表!$Q$7:$V$150,2,FALSE)),"",VLOOKUP($F30&amp;$D$3&amp;M$4,【進行】結果入力表!$Q$7:$V$150,2,FALSE))</f>
        <v>w</v>
      </c>
      <c r="N30" s="424"/>
      <c r="O30" s="184">
        <f>IF(M30="","",COUNTIF(I30:N30,"w"))</f>
        <v>1</v>
      </c>
      <c r="P30" s="185">
        <f>IF(M30="","",COUNT(K30,M30))</f>
        <v>1</v>
      </c>
      <c r="Q30" s="403">
        <f>SUM(I30:N30)+O30*H30</f>
        <v>279</v>
      </c>
      <c r="R30" s="404"/>
      <c r="S30" s="207">
        <f>IF(M30="","",Q30/H30*180)</f>
        <v>358.71428571428572</v>
      </c>
      <c r="T30" s="186">
        <f>IF(I31="w",180,I31/H30*180)+IF(I32="w",180,I32/H30*180)</f>
        <v>308.57142857142856</v>
      </c>
      <c r="U30" s="186">
        <f>O30*10000000+S30*O10029*10000000+S30*1000-T30</f>
        <v>10358405.714285715</v>
      </c>
      <c r="V30" s="187">
        <f>IF(M30="","",RANK(U30:U32,U30:U32,0))</f>
        <v>2</v>
      </c>
      <c r="X30" s="7">
        <v>3</v>
      </c>
      <c r="Y30" s="313">
        <f>IF(【準備】登録!U6=5,"",IF(【準備】登録!U6=6,2,IF(【準備】登録!U6=7,1,8)))</f>
        <v>2</v>
      </c>
      <c r="Z30" s="419" t="str">
        <f>IF(【準備】登録!$U$6&lt;Z29,"",Z25)</f>
        <v>HRC</v>
      </c>
      <c r="AA30" s="420"/>
      <c r="AB30" s="411" t="str">
        <f>IF(VLOOKUP(VALUE(X30&amp;Y30),【準備】登録!$AI$5:$AL$28,3,FALSE)=0,"",VLOOKUP(VALUE(X30&amp;Y30),【準備】登録!$AI$5:$AL$28,3,FALSE))</f>
        <v>堂園雅也</v>
      </c>
      <c r="AC30" s="412"/>
      <c r="AD30" s="183">
        <f>VLOOKUP(AB30,【準備】登録!$AK$4:$AL$27,2,FALSE)</f>
        <v>180</v>
      </c>
      <c r="AE30" s="430"/>
      <c r="AF30" s="431"/>
      <c r="AG30" s="423">
        <f>IF(ISERROR(VLOOKUP($AB30&amp;$Z$3&amp;AG$4,【進行】結果入力表!$Q$7:$V$150,2,FALSE)),"",VLOOKUP($AB30&amp;$Z$3&amp;AG$4,【進行】結果入力表!$Q$7:$V$150,2,FALSE))</f>
        <v>140</v>
      </c>
      <c r="AH30" s="432"/>
      <c r="AI30" s="423" t="str">
        <f>IF(ISERROR(VLOOKUP($AB30&amp;$Z$3&amp;AI$4,【進行】結果入力表!$Q$7:$V$150,2,FALSE)),"",VLOOKUP($AB30&amp;$Z$3&amp;AI$4,【進行】結果入力表!$Q$7:$V$150,2,FALSE))</f>
        <v>w</v>
      </c>
      <c r="AJ30" s="424"/>
      <c r="AK30" s="184">
        <f>IF(AI30="","",COUNTIF(AE30:AJ30,"w"))</f>
        <v>1</v>
      </c>
      <c r="AL30" s="185">
        <f>IF(AI30="","",COUNT(AG30,AI30))</f>
        <v>1</v>
      </c>
      <c r="AM30" s="403">
        <f>SUM(AE30:AJ30)+AK30*AD30</f>
        <v>320</v>
      </c>
      <c r="AN30" s="404"/>
      <c r="AO30" s="207">
        <f>IF(AI30="","",AM30/AD30*180)</f>
        <v>320</v>
      </c>
      <c r="AP30" s="186">
        <f>IF(AE31="w",180,AE31/AD30*180)+IF(AE32="w",180,AE32/AD30*180)</f>
        <v>220</v>
      </c>
      <c r="AQ30" s="186">
        <f>AK30*10000000+AO30*AK10029*10000000+AO30*1000-AP30</f>
        <v>10319780</v>
      </c>
      <c r="AR30" s="187">
        <f>IF(AI30="","",RANK(AQ30:AQ32,AQ30:AQ32,0))</f>
        <v>2</v>
      </c>
      <c r="AT30" s="7">
        <v>3</v>
      </c>
      <c r="AU30" s="313">
        <f>IF(【準備】登録!U6=5,"",IF(【準備】登録!U6=6,4,IF(【準備】登録!U6=7,3,2)))</f>
        <v>4</v>
      </c>
      <c r="AV30" s="419" t="str">
        <f>IF(【準備】登録!$U$6&lt;AV29,"",AV25)</f>
        <v>HRC</v>
      </c>
      <c r="AW30" s="420"/>
      <c r="AX30" s="411" t="str">
        <f>IF(VLOOKUP(VALUE(AT30&amp;AU30),【準備】登録!$AI$5:$AL$28,3,FALSE)=0,"",VLOOKUP(VALUE(AT30&amp;AU30),【準備】登録!$AI$5:$AL$28,3,FALSE))</f>
        <v>宮井健太郎</v>
      </c>
      <c r="AY30" s="412"/>
      <c r="AZ30" s="183">
        <f>VLOOKUP(AX30,【準備】登録!$AK$4:$AL$27,2,FALSE)</f>
        <v>180</v>
      </c>
      <c r="BA30" s="430"/>
      <c r="BB30" s="431"/>
      <c r="BC30" s="423">
        <f>IF(ISERROR(VLOOKUP($AX30&amp;$AV$3&amp;BC$4,【進行】結果入力表!$Q$7:$V$150,2,FALSE)),"",VLOOKUP($AX30&amp;$AV$3&amp;BC$4,【進行】結果入力表!$Q$7:$V$150,2,FALSE))</f>
        <v>88</v>
      </c>
      <c r="BD30" s="432"/>
      <c r="BE30" s="423" t="str">
        <f>IF(ISERROR(VLOOKUP($AX30&amp;$AV$3&amp;BE$4,【進行】結果入力表!$Q$7:$V$150,2,FALSE)),"",VLOOKUP($AX30&amp;$AV$3&amp;BE$4,【進行】結果入力表!$Q$7:$V$150,2,FALSE))</f>
        <v>w</v>
      </c>
      <c r="BF30" s="424"/>
      <c r="BG30" s="213">
        <f>IF(BE30="","",COUNTIF(BA30:BF30,"w"))</f>
        <v>1</v>
      </c>
      <c r="BH30" s="214">
        <f>IF(BE30="","",COUNT(BC30,BE30))</f>
        <v>1</v>
      </c>
      <c r="BI30" s="403">
        <f>SUM(BA30:BF30)+BG30*AZ30</f>
        <v>268</v>
      </c>
      <c r="BJ30" s="404"/>
      <c r="BK30" s="215">
        <f>IF(BE30="","",BI30/AZ30*180)</f>
        <v>268</v>
      </c>
      <c r="BL30" s="186">
        <f>IF(BA31="w",180,BA31/AZ30*180)+IF(BA32="w",180,BA32/AZ30*180)</f>
        <v>258</v>
      </c>
      <c r="BM30" s="186">
        <f>BG30*10000000+BK30*BG10029*10000000+BK30*1000-BL30</f>
        <v>10267742</v>
      </c>
      <c r="BN30" s="239">
        <f>IF(BE30="","",RANK(BM30:BM32,BM30:BM32,0))</f>
        <v>2</v>
      </c>
    </row>
    <row r="31" spans="1:66" s="7" customFormat="1" ht="12">
      <c r="A31" s="7">
        <v>2</v>
      </c>
      <c r="B31" s="7">
        <v>6</v>
      </c>
      <c r="D31" s="421" t="str">
        <f>IF(【準備】登録!$U$6&lt;D29,"",D26)</f>
        <v>SBC</v>
      </c>
      <c r="E31" s="422"/>
      <c r="F31" s="413" t="str">
        <f>IF(VLOOKUP(VALUE($A31&amp;$D29),【準備】登録!$AI$5:$AL$28,3,FALSE)=0,"",VLOOKUP(VALUE($A31&amp;$D29),【準備】登録!$AI$5:$AL$28,3,FALSE))</f>
        <v>大橋洋子</v>
      </c>
      <c r="G31" s="414"/>
      <c r="H31" s="188">
        <f>VLOOKUP(F31,【準備】登録!$AK$4:$AL$27,2,FALSE)</f>
        <v>140</v>
      </c>
      <c r="I31" s="435" t="str">
        <f>IF(ISERROR(VLOOKUP($F31&amp;$D$3&amp;I$4,【進行】結果入力表!$Q$7:$V$150,2,FALSE)),"",VLOOKUP($F31&amp;$D$3&amp;I$4,【進行】結果入力表!$Q$7:$V$150,2,FALSE))</f>
        <v>w</v>
      </c>
      <c r="J31" s="436"/>
      <c r="K31" s="437"/>
      <c r="L31" s="438"/>
      <c r="M31" s="439" t="str">
        <f>IF(ISERROR(VLOOKUP($F31&amp;$D$3&amp;M$4,【進行】結果入力表!$Q$7:$V$150,2,FALSE)),"",VLOOKUP($F31&amp;$D$3&amp;M$4,【進行】結果入力表!$Q$7:$V$150,2,FALSE))</f>
        <v>w</v>
      </c>
      <c r="N31" s="440"/>
      <c r="O31" s="189">
        <f>IF(M30="","",COUNTIF(I31:N31,"w"))</f>
        <v>2</v>
      </c>
      <c r="P31" s="190">
        <f>IF(M30="","",COUNT(I31,M31))</f>
        <v>0</v>
      </c>
      <c r="Q31" s="405">
        <f>SUM(I31:N31)+O31*H31</f>
        <v>280</v>
      </c>
      <c r="R31" s="406"/>
      <c r="S31" s="204">
        <f>IF(M30="","",Q31/H31*180)</f>
        <v>360</v>
      </c>
      <c r="T31" s="191">
        <f>IF(K30="w",180,K30/H31*180)+IF(K32="w",180,K32/H31*180)</f>
        <v>254.57142857142858</v>
      </c>
      <c r="U31" s="191">
        <f>O31*10000000+S31*O10030*10000000+S31*1000-T31</f>
        <v>20359745.428571429</v>
      </c>
      <c r="V31" s="192">
        <f>IF(M30="","",RANK(U30:U32,U30:U32,0))</f>
        <v>1</v>
      </c>
      <c r="X31" s="7">
        <v>2</v>
      </c>
      <c r="Y31" s="313">
        <f>IF(【準備】登録!U6=5,"",IF(【準備】登録!U6=6,1,7))</f>
        <v>1</v>
      </c>
      <c r="Z31" s="421" t="str">
        <f>IF(【準備】登録!$U$6&lt;Z29,"",Z26)</f>
        <v>SBC</v>
      </c>
      <c r="AA31" s="422"/>
      <c r="AB31" s="413" t="str">
        <f>IF(VLOOKUP(VALUE(X31&amp;Y31),【準備】登録!$AI$5:$AL$28,3,FALSE)=0,"",VLOOKUP(VALUE(X31&amp;Y31),【準備】登録!$AI$5:$AL$28,3,FALSE))</f>
        <v>大橋正寛</v>
      </c>
      <c r="AC31" s="414"/>
      <c r="AD31" s="188">
        <f>VLOOKUP(AB31,【準備】登録!$AK$4:$AL$27,2,FALSE)</f>
        <v>180</v>
      </c>
      <c r="AE31" s="435" t="str">
        <f>IF(ISERROR(VLOOKUP($AB31&amp;$Z$3&amp;AE$4,【進行】結果入力表!$Q$7:$V$150,2,FALSE)),"",VLOOKUP($AB31&amp;$Z$3&amp;AE$4,【進行】結果入力表!$Q$7:$V$150,2,FALSE))</f>
        <v>w</v>
      </c>
      <c r="AF31" s="436"/>
      <c r="AG31" s="437"/>
      <c r="AH31" s="438"/>
      <c r="AI31" s="439" t="str">
        <f>IF(ISERROR(VLOOKUP($AB31&amp;$Z$3&amp;AI$4,【進行】結果入力表!$Q$7:$V$150,2,FALSE)),"",VLOOKUP($AB31&amp;$Z$3&amp;AI$4,【進行】結果入力表!$Q$7:$V$150,2,FALSE))</f>
        <v>w</v>
      </c>
      <c r="AJ31" s="440"/>
      <c r="AK31" s="189">
        <f>IF(AI30="","",COUNTIF(AE31:AJ31,"w"))</f>
        <v>2</v>
      </c>
      <c r="AL31" s="190">
        <f>IF(AI30="","",COUNT(AE31,AI31))</f>
        <v>0</v>
      </c>
      <c r="AM31" s="405">
        <f>SUM(AE31:AJ31)+AK31*AD31</f>
        <v>360</v>
      </c>
      <c r="AN31" s="406"/>
      <c r="AO31" s="204">
        <f>IF(AI30="","",AM31/AD31*180)</f>
        <v>360</v>
      </c>
      <c r="AP31" s="191">
        <f>IF(AG30="w",180,AG30/AD31*180)+IF(AG32="w",180,AG32/AD31*180)</f>
        <v>185</v>
      </c>
      <c r="AQ31" s="191">
        <f>AK31*10000000+AO31*AK10030*10000000+AO31*1000-AP31</f>
        <v>20359815</v>
      </c>
      <c r="AR31" s="192">
        <f>IF(AI30="","",RANK(AQ30:AQ32,AQ30:AQ32,0))</f>
        <v>1</v>
      </c>
      <c r="AT31" s="7">
        <v>2</v>
      </c>
      <c r="AU31" s="313">
        <f>IF(【準備】登録!U6=5,"",IF(【準備】登録!U6=6,2,IF(【準備】登録!U6=7,1,8)))</f>
        <v>2</v>
      </c>
      <c r="AV31" s="421" t="str">
        <f>IF(【準備】登録!$U$6&lt;AV29,"",AV26)</f>
        <v>SBC</v>
      </c>
      <c r="AW31" s="422"/>
      <c r="AX31" s="413" t="str">
        <f>IF(VLOOKUP(VALUE(AT31&amp;AU31),【準備】登録!$AI$5:$AL$28,3,FALSE)=0,"",VLOOKUP(VALUE(AT31&amp;AU31),【準備】登録!$AI$5:$AL$28,3,FALSE))</f>
        <v>長田智紀</v>
      </c>
      <c r="AY31" s="414"/>
      <c r="AZ31" s="188">
        <f>VLOOKUP(AX31,【準備】登録!$AK$4:$AL$27,2,FALSE)</f>
        <v>180</v>
      </c>
      <c r="BA31" s="435" t="str">
        <f>IF(ISERROR(VLOOKUP($AX31&amp;$AV$3&amp;BA$4,【進行】結果入力表!$Q$7:$V$150,2,FALSE)),"",VLOOKUP($AX31&amp;$AV$3&amp;BA$4,【進行】結果入力表!$Q$7:$V$150,2,FALSE))</f>
        <v>w</v>
      </c>
      <c r="BB31" s="436"/>
      <c r="BC31" s="437"/>
      <c r="BD31" s="438"/>
      <c r="BE31" s="439" t="str">
        <f>IF(ISERROR(VLOOKUP($AX31&amp;$AV$3&amp;BE$4,【進行】結果入力表!$Q$7:$V$150,2,FALSE)),"",VLOOKUP($AX31&amp;$AV$3&amp;BE$4,【進行】結果入力表!$Q$7:$V$150,2,FALSE))</f>
        <v>w</v>
      </c>
      <c r="BF31" s="440"/>
      <c r="BG31" s="216">
        <f>IF(BE30="","",COUNTIF(BA31:BF31,"w"))</f>
        <v>2</v>
      </c>
      <c r="BH31" s="217">
        <f>IF(BE30="","",COUNT(BA31,BE31))</f>
        <v>0</v>
      </c>
      <c r="BI31" s="405">
        <f>SUM(BA31:BF31)+BG31*AZ31</f>
        <v>360</v>
      </c>
      <c r="BJ31" s="406"/>
      <c r="BK31" s="218">
        <f>IF(BE30="","",BI31/AZ31*180)</f>
        <v>360</v>
      </c>
      <c r="BL31" s="191">
        <f>IF(BC30="w",180,BC30/AZ31*180)+IF(BC32="w",180,BC32/AZ31*180)</f>
        <v>198</v>
      </c>
      <c r="BM31" s="191">
        <f>BG31*10000000+BK31*BG10030*10000000+BK31*1000-BL31</f>
        <v>20359802</v>
      </c>
      <c r="BN31" s="240">
        <f>IF(BE30="","",RANK(BM30:BM32,BM30:BM32,0))</f>
        <v>1</v>
      </c>
    </row>
    <row r="32" spans="1:66" s="7" customFormat="1" ht="12">
      <c r="A32" s="7">
        <v>1</v>
      </c>
      <c r="B32" s="7">
        <v>6</v>
      </c>
      <c r="D32" s="407" t="str">
        <f>IF(【準備】登録!$U$6&lt;D29,"",D27)</f>
        <v>NRC</v>
      </c>
      <c r="E32" s="408"/>
      <c r="F32" s="415" t="str">
        <f>IF(VLOOKUP(VALUE($A32&amp;$D29),【準備】登録!$AI$5:$AL$28,3,FALSE)=0,"",VLOOKUP(VALUE($A32&amp;$D29),【準備】登録!$AI$5:$AL$28,3,FALSE))</f>
        <v>宮野早織</v>
      </c>
      <c r="G32" s="416"/>
      <c r="H32" s="193">
        <f>VLOOKUP(F32,【準備】登録!$AK$4:$AL$27,2,FALSE)</f>
        <v>140</v>
      </c>
      <c r="I32" s="425">
        <f>IF(ISERROR(VLOOKUP($F32&amp;$D$3&amp;I$4,【進行】結果入力表!$Q$7:$V$150,2,FALSE)),"",VLOOKUP($F32&amp;$D$3&amp;I$4,【進行】結果入力表!$Q$7:$V$150,2,FALSE))</f>
        <v>100</v>
      </c>
      <c r="J32" s="426"/>
      <c r="K32" s="427">
        <f>IF(ISERROR(VLOOKUP($F32&amp;$D$3&amp;K$4,【進行】結果入力表!$Q$7:$V$150,2,FALSE)),"",VLOOKUP($F32&amp;$D$3&amp;K$4,【進行】結果入力表!$Q$7:$V$150,2,FALSE))</f>
        <v>59</v>
      </c>
      <c r="L32" s="426"/>
      <c r="M32" s="428"/>
      <c r="N32" s="429"/>
      <c r="O32" s="194">
        <f>IF(M30="","",COUNTIF(I32:N32,"w"))</f>
        <v>0</v>
      </c>
      <c r="P32" s="195">
        <f>IF(M30="","",COUNT(I32,K32))</f>
        <v>2</v>
      </c>
      <c r="Q32" s="433">
        <f>SUM(I32:N32)+O32*H32</f>
        <v>159</v>
      </c>
      <c r="R32" s="434"/>
      <c r="S32" s="195">
        <f>IF(M30="","",Q32/H32*180)</f>
        <v>204.42857142857142</v>
      </c>
      <c r="T32" s="196">
        <f>IF(M30="w",180,M30/H32*180)+IF(M31="w",180,M31/H32*180)</f>
        <v>360</v>
      </c>
      <c r="U32" s="196">
        <f>O32*10000000+S32*O10031*10000000+S32*1000-T32</f>
        <v>204068.57142857142</v>
      </c>
      <c r="V32" s="197">
        <f>IF(M30="","",RANK(U30:U32,U30:U32,0))</f>
        <v>3</v>
      </c>
      <c r="X32" s="7">
        <v>1</v>
      </c>
      <c r="Y32" s="313">
        <v>6</v>
      </c>
      <c r="Z32" s="407" t="str">
        <f>IF(【準備】登録!$U$6&lt;Z29,"",Z27)</f>
        <v>NRC</v>
      </c>
      <c r="AA32" s="408"/>
      <c r="AB32" s="415" t="str">
        <f>IF(VLOOKUP(VALUE(X32&amp;Y32),【準備】登録!$AI$5:$AL$28,3,FALSE)=0,"",VLOOKUP(VALUE(X32&amp;Y32),【準備】登録!$AI$5:$AL$28,3,FALSE))</f>
        <v>宮野早織</v>
      </c>
      <c r="AC32" s="416"/>
      <c r="AD32" s="193">
        <f>VLOOKUP(AB32,【準備】登録!$AK$4:$AL$27,2,FALSE)</f>
        <v>140</v>
      </c>
      <c r="AE32" s="425">
        <f>IF(ISERROR(VLOOKUP($AB32&amp;$Z$3&amp;AE$4,【進行】結果入力表!$Q$7:$V$150,2,FALSE)),"",VLOOKUP($AB32&amp;$Z$3&amp;AE$4,【進行】結果入力表!$Q$7:$V$150,2,FALSE))</f>
        <v>40</v>
      </c>
      <c r="AF32" s="426"/>
      <c r="AG32" s="427">
        <f>IF(ISERROR(VLOOKUP($AB32&amp;$Z$3&amp;AG$4,【進行】結果入力表!$Q$7:$V$150,2,FALSE)),"",VLOOKUP($AB32&amp;$Z$3&amp;AG$4,【進行】結果入力表!$Q$7:$V$150,2,FALSE))</f>
        <v>45</v>
      </c>
      <c r="AH32" s="426"/>
      <c r="AI32" s="428"/>
      <c r="AJ32" s="429"/>
      <c r="AK32" s="194">
        <f>IF(AI30="","",COUNTIF(AE32:AJ32,"w"))</f>
        <v>0</v>
      </c>
      <c r="AL32" s="195">
        <f>IF(AI30="","",COUNT(AE32,AG32))</f>
        <v>2</v>
      </c>
      <c r="AM32" s="433">
        <f>SUM(AE32:AJ32)+AK32*AD32</f>
        <v>85</v>
      </c>
      <c r="AN32" s="434"/>
      <c r="AO32" s="205">
        <f>IF(AI30="","",AM32/AD32*180)</f>
        <v>109.28571428571428</v>
      </c>
      <c r="AP32" s="196">
        <f>IF(AI30="w",180,AI30/AD32*180)+IF(AI31="w",180,AI31/AD32*180)</f>
        <v>360</v>
      </c>
      <c r="AQ32" s="196">
        <f>AK32*10000000+AO32*AK10031*10000000+AO32*1000-AP32</f>
        <v>108925.71428571428</v>
      </c>
      <c r="AR32" s="197">
        <f>IF(AI30="","",RANK(AQ30:AQ32,AQ30:AQ32,0))</f>
        <v>3</v>
      </c>
      <c r="AT32" s="7">
        <v>1</v>
      </c>
      <c r="AU32" s="7">
        <v>6</v>
      </c>
      <c r="AV32" s="407" t="str">
        <f>IF(【準備】登録!$U$6&lt;AV29,"",AV27)</f>
        <v>NRC</v>
      </c>
      <c r="AW32" s="408"/>
      <c r="AX32" s="415" t="str">
        <f>IF(VLOOKUP(VALUE(AT32&amp;AU32),【準備】登録!$AI$5:$AL$28,3,FALSE)=0,"",VLOOKUP(VALUE(AT32&amp;AU32),【準備】登録!$AI$5:$AL$28,3,FALSE))</f>
        <v>宮野早織</v>
      </c>
      <c r="AY32" s="416"/>
      <c r="AZ32" s="193">
        <f>VLOOKUP(AX32,【準備】登録!$AK$4:$AL$27,2,FALSE)</f>
        <v>140</v>
      </c>
      <c r="BA32" s="425">
        <f>IF(ISERROR(VLOOKUP($AX32&amp;$AV$3&amp;BA$4,【進行】結果入力表!$Q$7:$V$150,2,FALSE)),"",VLOOKUP($AX32&amp;$AV$3&amp;BA$4,【進行】結果入力表!$Q$7:$V$150,2,FALSE))</f>
        <v>78</v>
      </c>
      <c r="BB32" s="426"/>
      <c r="BC32" s="427">
        <f>IF(ISERROR(VLOOKUP($AX32&amp;$AV$3&amp;BC$4,【進行】結果入力表!$Q$7:$V$150,2,FALSE)),"",VLOOKUP($AX32&amp;$AV$3&amp;BC$4,【進行】結果入力表!$Q$7:$V$150,2,FALSE))</f>
        <v>110</v>
      </c>
      <c r="BD32" s="426"/>
      <c r="BE32" s="428"/>
      <c r="BF32" s="429"/>
      <c r="BG32" s="219">
        <f>IF(BE30="","",COUNTIF(BA32:BF32,"w"))</f>
        <v>0</v>
      </c>
      <c r="BH32" s="220">
        <f>IF(BE30="","",COUNT(BA32,BC32))</f>
        <v>2</v>
      </c>
      <c r="BI32" s="433">
        <f>SUM(BA32:BF32)+BG32*AZ32</f>
        <v>188</v>
      </c>
      <c r="BJ32" s="434"/>
      <c r="BK32" s="221">
        <f>IF(BE30="","",BI32/AZ32*180)</f>
        <v>241.71428571428569</v>
      </c>
      <c r="BL32" s="196">
        <f>IF(BE30="w",180,BE30/AZ32*180)+IF(BE31="w",180,BE31/AZ32*180)</f>
        <v>360</v>
      </c>
      <c r="BM32" s="196">
        <f>BG32*10000000+BK32*BG10031*10000000+BK32*1000-BL32</f>
        <v>241354.28571428568</v>
      </c>
      <c r="BN32" s="241">
        <f>IF(BE30="","",RANK(BM30:BM32,BM30:BM32,0))</f>
        <v>3</v>
      </c>
    </row>
    <row r="33" spans="1:66" s="7" customFormat="1" ht="8.25" customHeight="1">
      <c r="D33" s="198"/>
      <c r="E33" s="198"/>
      <c r="F33" s="198"/>
      <c r="G33" s="198"/>
      <c r="H33" s="199"/>
      <c r="I33" s="198"/>
      <c r="J33" s="198"/>
      <c r="K33" s="198"/>
      <c r="L33" s="198"/>
      <c r="M33" s="198"/>
      <c r="N33" s="198"/>
      <c r="O33" s="198"/>
      <c r="P33" s="198"/>
      <c r="Q33" s="199"/>
      <c r="R33" s="199"/>
      <c r="S33" s="198"/>
      <c r="T33" s="198"/>
      <c r="U33" s="199"/>
      <c r="V33" s="198"/>
      <c r="Y33" s="313"/>
      <c r="Z33" s="198"/>
      <c r="AA33" s="198"/>
      <c r="AB33" s="198"/>
      <c r="AC33" s="198"/>
      <c r="AD33" s="199"/>
      <c r="AE33" s="198"/>
      <c r="AF33" s="198"/>
      <c r="AG33" s="198"/>
      <c r="AH33" s="198"/>
      <c r="AI33" s="198"/>
      <c r="AJ33" s="198"/>
      <c r="AK33" s="198"/>
      <c r="AL33" s="198"/>
      <c r="AM33" s="199"/>
      <c r="AN33" s="199"/>
      <c r="AO33" s="206"/>
      <c r="AP33" s="198"/>
      <c r="AQ33" s="199"/>
      <c r="AR33" s="198"/>
      <c r="AV33" s="198"/>
      <c r="AW33" s="198"/>
      <c r="AX33" s="198"/>
      <c r="AY33" s="198"/>
      <c r="AZ33" s="223"/>
      <c r="BA33" s="198"/>
      <c r="BB33" s="198"/>
      <c r="BC33" s="198"/>
      <c r="BD33" s="198"/>
      <c r="BE33" s="198"/>
      <c r="BF33" s="198"/>
      <c r="BG33" s="222"/>
      <c r="BH33" s="222"/>
      <c r="BI33" s="223"/>
      <c r="BJ33" s="223"/>
      <c r="BK33" s="222"/>
      <c r="BL33" s="198"/>
      <c r="BM33" s="199"/>
      <c r="BN33" s="242"/>
    </row>
    <row r="34" spans="1:66" s="7" customFormat="1" ht="12">
      <c r="D34" s="417">
        <v>7</v>
      </c>
      <c r="E34" s="418"/>
      <c r="F34" s="409" t="s">
        <v>64</v>
      </c>
      <c r="G34" s="410"/>
      <c r="H34" s="175" t="str">
        <f>H$4</f>
        <v>持点</v>
      </c>
      <c r="I34" s="176" t="str">
        <f>$D$5</f>
        <v>HRC</v>
      </c>
      <c r="J34" s="177"/>
      <c r="K34" s="178" t="str">
        <f>$D$6</f>
        <v>SBC</v>
      </c>
      <c r="L34" s="177"/>
      <c r="M34" s="178" t="str">
        <f>$D$7</f>
        <v>NRC</v>
      </c>
      <c r="N34" s="179"/>
      <c r="O34" s="177" t="s">
        <v>21</v>
      </c>
      <c r="P34" s="180" t="s">
        <v>47</v>
      </c>
      <c r="Q34" s="401" t="s">
        <v>48</v>
      </c>
      <c r="R34" s="402"/>
      <c r="S34" s="180" t="s">
        <v>48</v>
      </c>
      <c r="T34" s="181" t="s">
        <v>65</v>
      </c>
      <c r="U34" s="181" t="s">
        <v>59</v>
      </c>
      <c r="V34" s="182" t="s">
        <v>49</v>
      </c>
      <c r="Z34" s="417">
        <v>7</v>
      </c>
      <c r="AA34" s="418"/>
      <c r="AB34" s="409" t="s">
        <v>64</v>
      </c>
      <c r="AC34" s="410"/>
      <c r="AD34" s="175" t="str">
        <f>$H$4</f>
        <v>持点</v>
      </c>
      <c r="AE34" s="176" t="str">
        <f>$D$5</f>
        <v>HRC</v>
      </c>
      <c r="AF34" s="177"/>
      <c r="AG34" s="178" t="str">
        <f>$D$6</f>
        <v>SBC</v>
      </c>
      <c r="AH34" s="177"/>
      <c r="AI34" s="178" t="str">
        <f>$D$7</f>
        <v>NRC</v>
      </c>
      <c r="AJ34" s="179"/>
      <c r="AK34" s="177" t="s">
        <v>21</v>
      </c>
      <c r="AL34" s="180" t="s">
        <v>47</v>
      </c>
      <c r="AM34" s="401" t="s">
        <v>48</v>
      </c>
      <c r="AN34" s="402"/>
      <c r="AO34" s="203" t="s">
        <v>48</v>
      </c>
      <c r="AP34" s="181" t="s">
        <v>65</v>
      </c>
      <c r="AQ34" s="181" t="s">
        <v>59</v>
      </c>
      <c r="AR34" s="182" t="s">
        <v>49</v>
      </c>
      <c r="AV34" s="417">
        <v>7</v>
      </c>
      <c r="AW34" s="418"/>
      <c r="AX34" s="409" t="s">
        <v>64</v>
      </c>
      <c r="AY34" s="410"/>
      <c r="AZ34" s="210" t="str">
        <f>$H$4</f>
        <v>持点</v>
      </c>
      <c r="BA34" s="176" t="str">
        <f>$D$5</f>
        <v>HRC</v>
      </c>
      <c r="BB34" s="177"/>
      <c r="BC34" s="178" t="str">
        <f>$D$6</f>
        <v>SBC</v>
      </c>
      <c r="BD34" s="177"/>
      <c r="BE34" s="178" t="str">
        <f>$D$7</f>
        <v>NRC</v>
      </c>
      <c r="BF34" s="179"/>
      <c r="BG34" s="200" t="s">
        <v>21</v>
      </c>
      <c r="BH34" s="211" t="s">
        <v>47</v>
      </c>
      <c r="BI34" s="401" t="s">
        <v>48</v>
      </c>
      <c r="BJ34" s="402"/>
      <c r="BK34" s="211" t="s">
        <v>48</v>
      </c>
      <c r="BL34" s="181" t="s">
        <v>65</v>
      </c>
      <c r="BM34" s="181" t="s">
        <v>59</v>
      </c>
      <c r="BN34" s="212" t="s">
        <v>49</v>
      </c>
    </row>
    <row r="35" spans="1:66" s="7" customFormat="1" ht="12">
      <c r="A35" s="7">
        <v>3</v>
      </c>
      <c r="B35" s="7">
        <v>7</v>
      </c>
      <c r="D35" s="419" t="str">
        <f>IF(【準備】登録!$U$6&lt;D34,"",D30)</f>
        <v/>
      </c>
      <c r="E35" s="420"/>
      <c r="F35" s="411" t="str">
        <f>IF(VLOOKUP(VALUE($A35&amp;$D34),【準備】登録!$AI$5:$AL$28,3,FALSE)=0,"",VLOOKUP(VALUE($A35&amp;$D34),【準備】登録!$AI$5:$AL$28,3,FALSE))</f>
        <v/>
      </c>
      <c r="G35" s="412"/>
      <c r="H35" s="183" t="e">
        <f>VLOOKUP(F35,【準備】登録!$AK$4:$AL$27,2,FALSE)</f>
        <v>#N/A</v>
      </c>
      <c r="I35" s="430"/>
      <c r="J35" s="431"/>
      <c r="K35" s="423" t="str">
        <f>IF(ISERROR(VLOOKUP($F35&amp;$D$3&amp;K$4,【進行】結果入力表!$Q$7:$V$150,2,FALSE)),"",VLOOKUP($F35&amp;$D$3&amp;K$4,【進行】結果入力表!$Q$7:$V$150,2,FALSE))</f>
        <v/>
      </c>
      <c r="L35" s="432"/>
      <c r="M35" s="423" t="str">
        <f>IF(ISERROR(VLOOKUP($F35&amp;$D$3&amp;M$4,【進行】結果入力表!$Q$7:$V$150,2,FALSE)),"",VLOOKUP($F35&amp;$D$3&amp;M$4,【進行】結果入力表!$Q$7:$V$150,2,FALSE))</f>
        <v/>
      </c>
      <c r="N35" s="424"/>
      <c r="O35" s="184" t="str">
        <f>IF(M35="","",COUNTIF(I35:N35,"w"))</f>
        <v/>
      </c>
      <c r="P35" s="185" t="str">
        <f>IF(M35="","",COUNT(K35,M35))</f>
        <v/>
      </c>
      <c r="Q35" s="403" t="e">
        <f>SUM(I35:N35)+O35*H35</f>
        <v>#VALUE!</v>
      </c>
      <c r="R35" s="404"/>
      <c r="S35" s="207" t="str">
        <f>IF(M35="","",Q35/H35*180)</f>
        <v/>
      </c>
      <c r="T35" s="186" t="e">
        <f>IF(I36="w",180,I36/H35*180)+IF(I37="w",180,I37/H35*180)</f>
        <v>#VALUE!</v>
      </c>
      <c r="U35" s="186" t="e">
        <f>O35*10000000+S35*O10034*10000000+S35*1000-T35</f>
        <v>#VALUE!</v>
      </c>
      <c r="V35" s="187" t="str">
        <f>IF(M35="","",RANK(U35:U37,U35:U37,0))</f>
        <v/>
      </c>
      <c r="X35" s="7">
        <v>3</v>
      </c>
      <c r="Y35" s="313" t="str">
        <f>IF(【準備】登録!U6&lt;7,"",IF(【準備】登録!U6=7,2,1))</f>
        <v/>
      </c>
      <c r="Z35" s="419" t="str">
        <f>IF(【準備】登録!$U$6&lt;Z34,"",Z30)</f>
        <v/>
      </c>
      <c r="AA35" s="420"/>
      <c r="AB35" s="411" t="str">
        <f>IF(VLOOKUP(VALUE($A35&amp;$D34),【準備】登録!$AI$5:$AL$28,3,FALSE)=0,"",VLOOKUP(VALUE($A35&amp;$D34),【準備】登録!$AI$5:$AL$28,3,FALSE))</f>
        <v/>
      </c>
      <c r="AC35" s="412"/>
      <c r="AD35" s="183" t="e">
        <f>VLOOKUP(AB35,【準備】登録!$AK$4:$AL$27,2,FALSE)</f>
        <v>#N/A</v>
      </c>
      <c r="AE35" s="430"/>
      <c r="AF35" s="431"/>
      <c r="AG35" s="423" t="str">
        <f>IF(ISERROR(VLOOKUP($AB35&amp;$Z$3&amp;AG$4,【進行】結果入力表!$Q$7:$V$150,2,FALSE)),"",VLOOKUP($AB35&amp;$Z$3&amp;AG$4,【進行】結果入力表!$Q$7:$V$150,2,FALSE))</f>
        <v/>
      </c>
      <c r="AH35" s="432"/>
      <c r="AI35" s="423" t="str">
        <f>IF(ISERROR(VLOOKUP($AB35&amp;$Z$3&amp;AI$4,【進行】結果入力表!$Q$7:$V$150,2,FALSE)),"",VLOOKUP($AB35&amp;$Z$3&amp;AI$4,【進行】結果入力表!$Q$7:$V$150,2,FALSE))</f>
        <v/>
      </c>
      <c r="AJ35" s="424"/>
      <c r="AK35" s="184" t="str">
        <f>IF(AI35="","",COUNTIF(AE35:AJ35,"w"))</f>
        <v/>
      </c>
      <c r="AL35" s="185" t="str">
        <f>IF(AI35="","",COUNT(AG35,AI35))</f>
        <v/>
      </c>
      <c r="AM35" s="403" t="e">
        <f>SUM(AE35:AJ35)+AK35*AD35</f>
        <v>#VALUE!</v>
      </c>
      <c r="AN35" s="404"/>
      <c r="AO35" s="207" t="str">
        <f>IF(AI35="","",AM35/AD35*180)</f>
        <v/>
      </c>
      <c r="AP35" s="186" t="e">
        <f>IF(AE36="w",180,AE36/AD35*180)+IF(AE37="w",180,AE37/AD35*180)</f>
        <v>#VALUE!</v>
      </c>
      <c r="AQ35" s="186" t="e">
        <f>AK35*10000000+AO35*AK10034*10000000+AO35*1000-AP35</f>
        <v>#VALUE!</v>
      </c>
      <c r="AR35" s="187" t="str">
        <f>IF(AI35="","",RANK(AQ35:AQ37,AQ35:AQ37,0))</f>
        <v/>
      </c>
      <c r="AT35" s="7">
        <v>3</v>
      </c>
      <c r="AU35" s="313" t="str">
        <f>IF(【準備】登録!U6=5,"",IF(【準備】登録!U6=6,"",IF(【準備】登録!U6=7,4,3)))</f>
        <v/>
      </c>
      <c r="AV35" s="419" t="str">
        <f>IF(【準備】登録!$U$6&lt;AV34,"",AV30)</f>
        <v/>
      </c>
      <c r="AW35" s="420"/>
      <c r="AX35" s="411" t="str">
        <f>IF(VLOOKUP(VALUE($A35&amp;$D34),【準備】登録!$AI$5:$AL$28,3,FALSE)=0,"",VLOOKUP(VALUE($A35&amp;$D34),【準備】登録!$AI$5:$AL$28,3,FALSE))</f>
        <v/>
      </c>
      <c r="AY35" s="412"/>
      <c r="AZ35" s="183" t="e">
        <f>VLOOKUP(AX35,【準備】登録!$AK$4:$AL$27,2,FALSE)</f>
        <v>#N/A</v>
      </c>
      <c r="BA35" s="430"/>
      <c r="BB35" s="431"/>
      <c r="BC35" s="423" t="str">
        <f>IF(ISERROR(VLOOKUP($AX35&amp;$AV$3&amp;BC$4,【進行】結果入力表!$Q$7:$V$150,2,FALSE)),"",VLOOKUP($AX35&amp;$AV$3&amp;BC$4,【進行】結果入力表!$Q$7:$V$150,2,FALSE))</f>
        <v/>
      </c>
      <c r="BD35" s="432"/>
      <c r="BE35" s="423" t="str">
        <f>IF(ISERROR(VLOOKUP($AX35&amp;$AV$3&amp;BE$4,【進行】結果入力表!$Q$7:$V$150,2,FALSE)),"",VLOOKUP($AX35&amp;$AV$3&amp;BE$4,【進行】結果入力表!$Q$7:$V$150,2,FALSE))</f>
        <v/>
      </c>
      <c r="BF35" s="424"/>
      <c r="BG35" s="213" t="str">
        <f>IF(BE35="","",COUNTIF(BA35:BF35,"w"))</f>
        <v/>
      </c>
      <c r="BH35" s="214" t="str">
        <f>IF(BE35="","",COUNT(BC35,BE35))</f>
        <v/>
      </c>
      <c r="BI35" s="403" t="e">
        <f>SUM(BA35:BF35)+BG35*AZ35</f>
        <v>#VALUE!</v>
      </c>
      <c r="BJ35" s="404"/>
      <c r="BK35" s="215" t="str">
        <f>IF(BE35="","",BI35/AZ35*180)</f>
        <v/>
      </c>
      <c r="BL35" s="186" t="e">
        <f>IF(BA36="w",180,BA36/AZ35*180)+IF(BA37="w",180,BA37/AZ35*180)</f>
        <v>#VALUE!</v>
      </c>
      <c r="BM35" s="186" t="e">
        <f>BG35*10000000+BK35*BG10034*10000000+BK35*1000-BL35</f>
        <v>#VALUE!</v>
      </c>
      <c r="BN35" s="239" t="str">
        <f>IF(BE35="","",RANK(BM35:BM37,BM35:BM37,0))</f>
        <v/>
      </c>
    </row>
    <row r="36" spans="1:66" s="7" customFormat="1" ht="12">
      <c r="A36" s="7">
        <v>2</v>
      </c>
      <c r="B36" s="7">
        <v>7</v>
      </c>
      <c r="D36" s="421" t="str">
        <f>IF(【準備】登録!$U$6&lt;D34,"",D31)</f>
        <v/>
      </c>
      <c r="E36" s="422"/>
      <c r="F36" s="413" t="str">
        <f>IF(VLOOKUP(VALUE($A36&amp;$D34),【準備】登録!$AI$5:$AL$28,3,FALSE)=0,"",VLOOKUP(VALUE($A36&amp;$D34),【準備】登録!$AI$5:$AL$28,3,FALSE))</f>
        <v/>
      </c>
      <c r="G36" s="414"/>
      <c r="H36" s="188" t="e">
        <f>VLOOKUP(F36,【準備】登録!$AK$4:$AL$27,2,FALSE)</f>
        <v>#N/A</v>
      </c>
      <c r="I36" s="435" t="str">
        <f>IF(ISERROR(VLOOKUP($F36&amp;$D$3&amp;I$4,【進行】結果入力表!$Q$7:$V$150,2,FALSE)),"",VLOOKUP($F36&amp;$D$3&amp;I$4,【進行】結果入力表!$Q$7:$V$150,2,FALSE))</f>
        <v/>
      </c>
      <c r="J36" s="436"/>
      <c r="K36" s="437"/>
      <c r="L36" s="438"/>
      <c r="M36" s="439" t="str">
        <f>IF(ISERROR(VLOOKUP($F36&amp;$D$3&amp;M$4,【進行】結果入力表!$Q$7:$V$150,2,FALSE)),"",VLOOKUP($F36&amp;$D$3&amp;M$4,【進行】結果入力表!$Q$7:$V$150,2,FALSE))</f>
        <v/>
      </c>
      <c r="N36" s="440"/>
      <c r="O36" s="189" t="str">
        <f>IF(M35="","",COUNTIF(I36:N36,"w"))</f>
        <v/>
      </c>
      <c r="P36" s="190" t="str">
        <f>IF(M35="","",COUNT(I36,M36))</f>
        <v/>
      </c>
      <c r="Q36" s="405" t="e">
        <f>SUM(I36:N36)+O36*H36</f>
        <v>#VALUE!</v>
      </c>
      <c r="R36" s="406"/>
      <c r="S36" s="204" t="str">
        <f>IF(M35="","",Q36/H36*180)</f>
        <v/>
      </c>
      <c r="T36" s="191" t="e">
        <f>IF(K35="w",180,K35/H36*180)+IF(K37="w",180,K37/H36*180)</f>
        <v>#VALUE!</v>
      </c>
      <c r="U36" s="191" t="e">
        <f>O36*10000000+S36*O10035*10000000+S36*1000-T36</f>
        <v>#VALUE!</v>
      </c>
      <c r="V36" s="192" t="str">
        <f>IF(M35="","",RANK(U35:U37,U35:U37,0))</f>
        <v/>
      </c>
      <c r="X36" s="7">
        <v>2</v>
      </c>
      <c r="Y36" s="313" t="str">
        <f>IF(【準備】登録!U6&lt;7,"",IF(【準備】登録!U6=7,1,8))</f>
        <v/>
      </c>
      <c r="Z36" s="421" t="str">
        <f>IF(【準備】登録!$U$6&lt;Z34,"",Z31)</f>
        <v/>
      </c>
      <c r="AA36" s="422"/>
      <c r="AB36" s="413" t="str">
        <f>IF(VLOOKUP(VALUE($A36&amp;$D34),【準備】登録!$AI$5:$AL$28,3,FALSE)=0,"",VLOOKUP(VALUE($A36&amp;$D34),【準備】登録!$AI$5:$AL$28,3,FALSE))</f>
        <v/>
      </c>
      <c r="AC36" s="414"/>
      <c r="AD36" s="188" t="e">
        <f>VLOOKUP(AB36,【準備】登録!$AK$4:$AL$27,2,FALSE)</f>
        <v>#N/A</v>
      </c>
      <c r="AE36" s="435" t="str">
        <f>IF(ISERROR(VLOOKUP($AB36&amp;$Z$3&amp;AE$4,【進行】結果入力表!$Q$7:$V$150,2,FALSE)),"",VLOOKUP($AB36&amp;$Z$3&amp;AE$4,【進行】結果入力表!$Q$7:$V$150,2,FALSE))</f>
        <v/>
      </c>
      <c r="AF36" s="436"/>
      <c r="AG36" s="437"/>
      <c r="AH36" s="438"/>
      <c r="AI36" s="439" t="str">
        <f>IF(ISERROR(VLOOKUP($AB36&amp;$Z$3&amp;AI$4,【進行】結果入力表!$Q$7:$V$150,2,FALSE)),"",VLOOKUP($AB36&amp;$Z$3&amp;AI$4,【進行】結果入力表!$Q$7:$V$150,2,FALSE))</f>
        <v/>
      </c>
      <c r="AJ36" s="440"/>
      <c r="AK36" s="189" t="str">
        <f>IF(AI35="","",COUNTIF(AE36:AJ36,"w"))</f>
        <v/>
      </c>
      <c r="AL36" s="190" t="str">
        <f>IF(AI35="","",COUNT(AE36,AI36))</f>
        <v/>
      </c>
      <c r="AM36" s="405" t="e">
        <f>SUM(AE36:AJ36)+AK36*AD36</f>
        <v>#VALUE!</v>
      </c>
      <c r="AN36" s="406"/>
      <c r="AO36" s="204" t="str">
        <f>IF(AI35="","",AM36/AD36*180)</f>
        <v/>
      </c>
      <c r="AP36" s="191" t="e">
        <f>IF(AG35="w",180,AG35/AD36*180)+IF(AG37="w",180,AG37/AD36*180)</f>
        <v>#VALUE!</v>
      </c>
      <c r="AQ36" s="191" t="e">
        <f>AK36*10000000+AO36*AK10035*10000000+AO36*1000-AP36</f>
        <v>#VALUE!</v>
      </c>
      <c r="AR36" s="192" t="str">
        <f>IF(AI35="","",RANK(AQ35:AQ37,AQ35:AQ37,0))</f>
        <v/>
      </c>
      <c r="AT36" s="7">
        <v>2</v>
      </c>
      <c r="AU36" s="313" t="str">
        <f>IF(【準備】登録!U6=5,"",IF(【準備】登録!U6=6,"",IF(【準備】登録!U6=7,2,1)))</f>
        <v/>
      </c>
      <c r="AV36" s="421" t="str">
        <f>IF(【準備】登録!$U$6&lt;AV34,"",AV31)</f>
        <v/>
      </c>
      <c r="AW36" s="422"/>
      <c r="AX36" s="413" t="str">
        <f>IF(VLOOKUP(VALUE($A36&amp;$D34),【準備】登録!$AI$5:$AL$28,3,FALSE)=0,"",VLOOKUP(VALUE($A36&amp;$D34),【準備】登録!$AI$5:$AL$28,3,FALSE))</f>
        <v/>
      </c>
      <c r="AY36" s="414"/>
      <c r="AZ36" s="188" t="e">
        <f>VLOOKUP(AX36,【準備】登録!$AK$4:$AL$27,2,FALSE)</f>
        <v>#N/A</v>
      </c>
      <c r="BA36" s="435" t="str">
        <f>IF(ISERROR(VLOOKUP($AX36&amp;$AV$3&amp;BA$4,【進行】結果入力表!$Q$7:$V$150,2,FALSE)),"",VLOOKUP($AX36&amp;$AV$3&amp;BA$4,【進行】結果入力表!$Q$7:$V$150,2,FALSE))</f>
        <v/>
      </c>
      <c r="BB36" s="436"/>
      <c r="BC36" s="437"/>
      <c r="BD36" s="438"/>
      <c r="BE36" s="439" t="str">
        <f>IF(ISERROR(VLOOKUP($AX36&amp;$AV$3&amp;BE$4,【進行】結果入力表!$Q$7:$V$150,2,FALSE)),"",VLOOKUP($AX36&amp;$AV$3&amp;BE$4,【進行】結果入力表!$Q$7:$V$150,2,FALSE))</f>
        <v/>
      </c>
      <c r="BF36" s="440"/>
      <c r="BG36" s="216" t="str">
        <f>IF(BE35="","",COUNTIF(BA36:BF36,"w"))</f>
        <v/>
      </c>
      <c r="BH36" s="217" t="str">
        <f>IF(BE35="","",COUNT(BA36,BE36))</f>
        <v/>
      </c>
      <c r="BI36" s="405" t="e">
        <f>SUM(BA36:BF36)+BG36*AZ36</f>
        <v>#VALUE!</v>
      </c>
      <c r="BJ36" s="406"/>
      <c r="BK36" s="218" t="str">
        <f>IF(BE35="","",BI36/AZ36*180)</f>
        <v/>
      </c>
      <c r="BL36" s="191" t="e">
        <f>IF(BC35="w",180,BC35/AZ36*180)+IF(BC37="w",180,BC37/AZ36*180)</f>
        <v>#VALUE!</v>
      </c>
      <c r="BM36" s="191" t="e">
        <f>BG36*10000000+BK36*BG10035*10000000+BK36*1000-BL36</f>
        <v>#VALUE!</v>
      </c>
      <c r="BN36" s="240" t="str">
        <f>IF(BE35="","",RANK(BM35:BM37,BM35:BM37,0))</f>
        <v/>
      </c>
    </row>
    <row r="37" spans="1:66" s="7" customFormat="1" ht="12">
      <c r="A37" s="7">
        <v>1</v>
      </c>
      <c r="B37" s="7">
        <v>7</v>
      </c>
      <c r="D37" s="407" t="str">
        <f>IF(【準備】登録!$U$6&lt;D34,"",D32)</f>
        <v/>
      </c>
      <c r="E37" s="408"/>
      <c r="F37" s="415" t="str">
        <f>IF(VLOOKUP(VALUE($A37&amp;$D34),【準備】登録!$AI$5:$AL$28,3,FALSE)=0,"",VLOOKUP(VALUE($A37&amp;$D34),【準備】登録!$AI$5:$AL$28,3,FALSE))</f>
        <v/>
      </c>
      <c r="G37" s="416"/>
      <c r="H37" s="193" t="e">
        <f>VLOOKUP(F37,【準備】登録!$AK$4:$AL$27,2,FALSE)</f>
        <v>#N/A</v>
      </c>
      <c r="I37" s="425" t="str">
        <f>IF(ISERROR(VLOOKUP($F37&amp;$D$3&amp;I$4,【進行】結果入力表!$Q$7:$V$150,2,FALSE)),"",VLOOKUP($F37&amp;$D$3&amp;I$4,【進行】結果入力表!$Q$7:$V$150,2,FALSE))</f>
        <v/>
      </c>
      <c r="J37" s="426"/>
      <c r="K37" s="427" t="str">
        <f>IF(ISERROR(VLOOKUP($F37&amp;$D$3&amp;K$4,【進行】結果入力表!$Q$7:$V$150,2,FALSE)),"",VLOOKUP($F37&amp;$D$3&amp;K$4,【進行】結果入力表!$Q$7:$V$150,2,FALSE))</f>
        <v/>
      </c>
      <c r="L37" s="426"/>
      <c r="M37" s="428"/>
      <c r="N37" s="429"/>
      <c r="O37" s="194" t="str">
        <f>IF(M35="","",COUNTIF(I37:N37,"w"))</f>
        <v/>
      </c>
      <c r="P37" s="195" t="str">
        <f>IF(M35="","",COUNT(I37,K37))</f>
        <v/>
      </c>
      <c r="Q37" s="433" t="e">
        <f>SUM(I37:N37)+O37*H37</f>
        <v>#VALUE!</v>
      </c>
      <c r="R37" s="434"/>
      <c r="S37" s="205" t="str">
        <f>IF(M35="","",Q37/H37*180)</f>
        <v/>
      </c>
      <c r="T37" s="196" t="e">
        <f>IF(M35="w",180,M35/H37*180)+IF(M36="w",180,M36/H37*180)</f>
        <v>#VALUE!</v>
      </c>
      <c r="U37" s="196" t="e">
        <f>O37*10000000+S37*O10036*10000000+S37*1000-T37</f>
        <v>#VALUE!</v>
      </c>
      <c r="V37" s="197" t="str">
        <f>IF(M35="","",RANK(U35:U37,U35:U37,0))</f>
        <v/>
      </c>
      <c r="X37" s="7">
        <v>1</v>
      </c>
      <c r="Y37" s="313">
        <v>7</v>
      </c>
      <c r="Z37" s="407" t="str">
        <f>IF(【準備】登録!$U$6&lt;Z34,"",Z32)</f>
        <v/>
      </c>
      <c r="AA37" s="408"/>
      <c r="AB37" s="415" t="str">
        <f>IF(VLOOKUP(VALUE($A37&amp;$D34),【準備】登録!$AI$5:$AL$28,3,FALSE)=0,"",VLOOKUP(VALUE($A37&amp;$D34),【準備】登録!$AI$5:$AL$28,3,FALSE))</f>
        <v/>
      </c>
      <c r="AC37" s="416"/>
      <c r="AD37" s="193" t="e">
        <f>VLOOKUP(AB37,【準備】登録!$AK$4:$AL$27,2,FALSE)</f>
        <v>#N/A</v>
      </c>
      <c r="AE37" s="425" t="str">
        <f>IF(ISERROR(VLOOKUP($AB37&amp;$Z$3&amp;AE$4,【進行】結果入力表!$Q$7:$V$150,2,FALSE)),"",VLOOKUP($AB37&amp;$Z$3&amp;AE$4,【進行】結果入力表!$Q$7:$V$150,2,FALSE))</f>
        <v/>
      </c>
      <c r="AF37" s="426"/>
      <c r="AG37" s="427" t="str">
        <f>IF(ISERROR(VLOOKUP($AB37&amp;$Z$3&amp;AG$4,【進行】結果入力表!$Q$7:$V$150,2,FALSE)),"",VLOOKUP($AB37&amp;$Z$3&amp;AG$4,【進行】結果入力表!$Q$7:$V$150,2,FALSE))</f>
        <v/>
      </c>
      <c r="AH37" s="426"/>
      <c r="AI37" s="428"/>
      <c r="AJ37" s="429"/>
      <c r="AK37" s="194" t="str">
        <f>IF(AI35="","",COUNTIF(AE37:AJ37,"w"))</f>
        <v/>
      </c>
      <c r="AL37" s="195" t="str">
        <f>IF(AI35="","",COUNT(AE37,AG37))</f>
        <v/>
      </c>
      <c r="AM37" s="433" t="e">
        <f>SUM(AE37:AJ37)+AK37*AD37</f>
        <v>#VALUE!</v>
      </c>
      <c r="AN37" s="434"/>
      <c r="AO37" s="205" t="str">
        <f>IF(AI35="","",AM37/AD37*180)</f>
        <v/>
      </c>
      <c r="AP37" s="196" t="e">
        <f>IF(AI35="w",180,AI35/AD37*180)+IF(AI36="w",180,AI36/AD37*180)</f>
        <v>#VALUE!</v>
      </c>
      <c r="AQ37" s="196" t="e">
        <f>AK37*10000000+AO37*AK10036*10000000+AO37*1000-AP37</f>
        <v>#VALUE!</v>
      </c>
      <c r="AR37" s="197" t="str">
        <f>IF(AI35="","",RANK(AQ35:AQ37,AQ35:AQ37,0))</f>
        <v/>
      </c>
      <c r="AT37" s="7">
        <v>1</v>
      </c>
      <c r="AU37" s="7">
        <v>7</v>
      </c>
      <c r="AV37" s="407" t="str">
        <f>IF(【準備】登録!$U$6&lt;AV34,"",AV32)</f>
        <v/>
      </c>
      <c r="AW37" s="408"/>
      <c r="AX37" s="415" t="str">
        <f>IF(VLOOKUP(VALUE($A37&amp;$D34),【準備】登録!$AI$5:$AL$28,3,FALSE)=0,"",VLOOKUP(VALUE($A37&amp;$D34),【準備】登録!$AI$5:$AL$28,3,FALSE))</f>
        <v/>
      </c>
      <c r="AY37" s="416"/>
      <c r="AZ37" s="193" t="e">
        <f>VLOOKUP(AX37,【準備】登録!$AK$4:$AL$27,2,FALSE)</f>
        <v>#N/A</v>
      </c>
      <c r="BA37" s="425" t="str">
        <f>IF(ISERROR(VLOOKUP($AX37&amp;$AV$3&amp;BA$4,【進行】結果入力表!$Q$7:$V$150,2,FALSE)),"",VLOOKUP($AX37&amp;$AV$3&amp;BA$4,【進行】結果入力表!$Q$7:$V$150,2,FALSE))</f>
        <v/>
      </c>
      <c r="BB37" s="426"/>
      <c r="BC37" s="427" t="str">
        <f>IF(ISERROR(VLOOKUP($AX37&amp;$AV$3&amp;BC$4,【進行】結果入力表!$Q$7:$V$150,2,FALSE)),"",VLOOKUP($AX37&amp;$AV$3&amp;BC$4,【進行】結果入力表!$Q$7:$V$150,2,FALSE))</f>
        <v/>
      </c>
      <c r="BD37" s="426"/>
      <c r="BE37" s="428"/>
      <c r="BF37" s="429"/>
      <c r="BG37" s="219" t="str">
        <f>IF(BE35="","",COUNTIF(BA37:BF37,"w"))</f>
        <v/>
      </c>
      <c r="BH37" s="220" t="str">
        <f>IF(BE35="","",COUNT(BA37,BC37))</f>
        <v/>
      </c>
      <c r="BI37" s="433" t="e">
        <f>SUM(BA37:BF37)+BG37*AZ37</f>
        <v>#VALUE!</v>
      </c>
      <c r="BJ37" s="434"/>
      <c r="BK37" s="221" t="str">
        <f>IF(BE35="","",BI37/AZ37*180)</f>
        <v/>
      </c>
      <c r="BL37" s="196" t="e">
        <f>IF(BE35="w",180,BE35/AZ37*180)+IF(BE36="w",180,BE36/AZ37*180)</f>
        <v>#VALUE!</v>
      </c>
      <c r="BM37" s="196" t="e">
        <f>BG37*10000000+BK37*BG10036*10000000+BK37*1000-BL37</f>
        <v>#VALUE!</v>
      </c>
      <c r="BN37" s="241" t="str">
        <f>IF(BE35="","",RANK(BM35:BM37,BM35:BM37,0))</f>
        <v/>
      </c>
    </row>
    <row r="38" spans="1:66" s="7" customFormat="1" ht="8.25" customHeight="1">
      <c r="D38" s="198"/>
      <c r="E38" s="198"/>
      <c r="F38" s="198"/>
      <c r="G38" s="198"/>
      <c r="H38" s="199"/>
      <c r="I38" s="198"/>
      <c r="J38" s="198"/>
      <c r="K38" s="198"/>
      <c r="L38" s="198"/>
      <c r="M38" s="198"/>
      <c r="N38" s="198"/>
      <c r="O38" s="198"/>
      <c r="P38" s="198"/>
      <c r="Q38" s="199"/>
      <c r="R38" s="199"/>
      <c r="S38" s="198"/>
      <c r="T38" s="198"/>
      <c r="U38" s="199"/>
      <c r="V38" s="198"/>
      <c r="Z38" s="198"/>
      <c r="AA38" s="198"/>
      <c r="AB38" s="198"/>
      <c r="AC38" s="198"/>
      <c r="AD38" s="199"/>
      <c r="AE38" s="198"/>
      <c r="AF38" s="198"/>
      <c r="AG38" s="198"/>
      <c r="AH38" s="198"/>
      <c r="AI38" s="198"/>
      <c r="AJ38" s="198"/>
      <c r="AK38" s="198"/>
      <c r="AL38" s="198"/>
      <c r="AM38" s="199"/>
      <c r="AN38" s="199"/>
      <c r="AO38" s="206"/>
      <c r="AP38" s="198"/>
      <c r="AQ38" s="199"/>
      <c r="AR38" s="198"/>
      <c r="AV38" s="198"/>
      <c r="AW38" s="198"/>
      <c r="AX38" s="198"/>
      <c r="AY38" s="198"/>
      <c r="AZ38" s="223"/>
      <c r="BA38" s="198"/>
      <c r="BB38" s="198"/>
      <c r="BC38" s="198"/>
      <c r="BD38" s="198"/>
      <c r="BE38" s="198"/>
      <c r="BF38" s="198"/>
      <c r="BG38" s="222"/>
      <c r="BH38" s="222"/>
      <c r="BI38" s="223"/>
      <c r="BJ38" s="223"/>
      <c r="BK38" s="222"/>
      <c r="BL38" s="198"/>
      <c r="BM38" s="199"/>
      <c r="BN38" s="242"/>
    </row>
    <row r="39" spans="1:66" s="7" customFormat="1" ht="12">
      <c r="D39" s="417">
        <v>8</v>
      </c>
      <c r="E39" s="418"/>
      <c r="F39" s="409" t="s">
        <v>64</v>
      </c>
      <c r="G39" s="410"/>
      <c r="H39" s="175" t="str">
        <f>H$4</f>
        <v>持点</v>
      </c>
      <c r="I39" s="441" t="str">
        <f>$D$40</f>
        <v/>
      </c>
      <c r="J39" s="442"/>
      <c r="K39" s="409" t="str">
        <f>$D$41</f>
        <v/>
      </c>
      <c r="L39" s="442"/>
      <c r="M39" s="409" t="str">
        <f>$D$42</f>
        <v/>
      </c>
      <c r="N39" s="443"/>
      <c r="O39" s="177" t="s">
        <v>21</v>
      </c>
      <c r="P39" s="180" t="s">
        <v>47</v>
      </c>
      <c r="Q39" s="401" t="s">
        <v>48</v>
      </c>
      <c r="R39" s="402"/>
      <c r="S39" s="180" t="s">
        <v>48</v>
      </c>
      <c r="T39" s="181" t="s">
        <v>65</v>
      </c>
      <c r="U39" s="181" t="s">
        <v>59</v>
      </c>
      <c r="V39" s="182" t="s">
        <v>49</v>
      </c>
      <c r="Z39" s="417">
        <v>8</v>
      </c>
      <c r="AA39" s="418"/>
      <c r="AB39" s="409" t="s">
        <v>64</v>
      </c>
      <c r="AC39" s="410"/>
      <c r="AD39" s="175" t="str">
        <f>$H$4</f>
        <v>持点</v>
      </c>
      <c r="AE39" s="441" t="str">
        <f>$D$40</f>
        <v/>
      </c>
      <c r="AF39" s="442"/>
      <c r="AG39" s="409" t="str">
        <f>$D$41</f>
        <v/>
      </c>
      <c r="AH39" s="442"/>
      <c r="AI39" s="409" t="str">
        <f>$D$42</f>
        <v/>
      </c>
      <c r="AJ39" s="443"/>
      <c r="AK39" s="177" t="s">
        <v>21</v>
      </c>
      <c r="AL39" s="180" t="s">
        <v>47</v>
      </c>
      <c r="AM39" s="401" t="s">
        <v>48</v>
      </c>
      <c r="AN39" s="402"/>
      <c r="AO39" s="203" t="s">
        <v>48</v>
      </c>
      <c r="AP39" s="181" t="s">
        <v>65</v>
      </c>
      <c r="AQ39" s="181" t="s">
        <v>59</v>
      </c>
      <c r="AR39" s="182" t="s">
        <v>49</v>
      </c>
      <c r="AV39" s="417">
        <v>8</v>
      </c>
      <c r="AW39" s="418"/>
      <c r="AX39" s="409" t="s">
        <v>64</v>
      </c>
      <c r="AY39" s="410"/>
      <c r="AZ39" s="210" t="str">
        <f>$H$4</f>
        <v>持点</v>
      </c>
      <c r="BA39" s="441" t="str">
        <f>$D$40</f>
        <v/>
      </c>
      <c r="BB39" s="442"/>
      <c r="BC39" s="409" t="str">
        <f>$D$41</f>
        <v/>
      </c>
      <c r="BD39" s="442"/>
      <c r="BE39" s="409" t="str">
        <f>$D$42</f>
        <v/>
      </c>
      <c r="BF39" s="443"/>
      <c r="BG39" s="200" t="s">
        <v>21</v>
      </c>
      <c r="BH39" s="211" t="s">
        <v>47</v>
      </c>
      <c r="BI39" s="401" t="s">
        <v>48</v>
      </c>
      <c r="BJ39" s="402"/>
      <c r="BK39" s="211" t="s">
        <v>48</v>
      </c>
      <c r="BL39" s="181" t="s">
        <v>65</v>
      </c>
      <c r="BM39" s="181" t="s">
        <v>59</v>
      </c>
      <c r="BN39" s="212" t="s">
        <v>49</v>
      </c>
    </row>
    <row r="40" spans="1:66" s="7" customFormat="1" ht="12">
      <c r="A40" s="7">
        <v>3</v>
      </c>
      <c r="B40" s="7">
        <v>8</v>
      </c>
      <c r="D40" s="419" t="str">
        <f>IF(【準備】登録!$U$6&lt;D39,"",D35)</f>
        <v/>
      </c>
      <c r="E40" s="420"/>
      <c r="F40" s="411" t="str">
        <f>IF(VLOOKUP(VALUE($A40&amp;$D39),【準備】登録!$AI$5:$AL$28,3,FALSE)=0,"",VLOOKUP(VALUE($A40&amp;$D39),【準備】登録!$AI$5:$AL$28,3,FALSE))</f>
        <v/>
      </c>
      <c r="G40" s="412"/>
      <c r="H40" s="183" t="e">
        <f>VLOOKUP(F40,【準備】登録!$AK$4:$AL$27,2,FALSE)</f>
        <v>#N/A</v>
      </c>
      <c r="I40" s="430"/>
      <c r="J40" s="431"/>
      <c r="K40" s="423" t="str">
        <f>IF(ISERROR(VLOOKUP($F40&amp;$D$3&amp;K$4,【進行】結果入力表!$Q$7:$V$150,2,FALSE)),"",VLOOKUP($F40&amp;$D$3&amp;K$4,【進行】結果入力表!$Q$7:$V$150,2,FALSE))</f>
        <v/>
      </c>
      <c r="L40" s="432"/>
      <c r="M40" s="423" t="str">
        <f>IF(ISERROR(VLOOKUP($F40&amp;$D$3&amp;M$4,【進行】結果入力表!$Q$7:$V$150,2,FALSE)),"",VLOOKUP($F40&amp;$D$3&amp;M$4,【進行】結果入力表!$Q$7:$V$150,2,FALSE))</f>
        <v/>
      </c>
      <c r="N40" s="424"/>
      <c r="O40" s="184" t="str">
        <f>IF(M40="","",COUNTIF(I40:N40,"w"))</f>
        <v/>
      </c>
      <c r="P40" s="185" t="str">
        <f>IF(M40="","",COUNT(K40,M40))</f>
        <v/>
      </c>
      <c r="Q40" s="403" t="e">
        <f>SUM(I40:N40)+O40*H40</f>
        <v>#VALUE!</v>
      </c>
      <c r="R40" s="404"/>
      <c r="S40" s="185" t="str">
        <f>IF(M40="","",Q40/H40*180)</f>
        <v/>
      </c>
      <c r="T40" s="186" t="e">
        <f>IF(I41="w",180,I41/H40*180)+IF(I42="w",180,I42/H40*180)</f>
        <v>#VALUE!</v>
      </c>
      <c r="U40" s="186" t="e">
        <f>O40*10000000+S40*O10039*10000000+S40*1000-T40</f>
        <v>#VALUE!</v>
      </c>
      <c r="V40" s="187" t="str">
        <f>IF(M40="","",RANK(U40:U42,U40:U42,0))</f>
        <v/>
      </c>
      <c r="X40" s="7">
        <v>3</v>
      </c>
      <c r="Y40" s="7">
        <v>2</v>
      </c>
      <c r="Z40" s="419" t="str">
        <f>IF(【準備】登録!$U$6&lt;Z39,"",Z35)</f>
        <v/>
      </c>
      <c r="AA40" s="420"/>
      <c r="AB40" s="411" t="str">
        <f>IF(VLOOKUP(VALUE($A40&amp;$D39),【準備】登録!$AI$5:$AL$28,3,FALSE)=0,"",VLOOKUP(VALUE($A40&amp;$D39),【準備】登録!$AI$5:$AL$28,3,FALSE))</f>
        <v/>
      </c>
      <c r="AC40" s="412"/>
      <c r="AD40" s="183" t="e">
        <f>VLOOKUP(AB40,【準備】登録!$AK$4:$AL$27,2,FALSE)</f>
        <v>#N/A</v>
      </c>
      <c r="AE40" s="430"/>
      <c r="AF40" s="431"/>
      <c r="AG40" s="423" t="str">
        <f>IF(ISERROR(VLOOKUP($AB40&amp;$Z$3&amp;AG$4,【進行】結果入力表!$Q$7:$V$150,2,FALSE)),"",VLOOKUP($AB40&amp;$Z$3&amp;AG$4,【進行】結果入力表!$Q$7:$V$150,2,FALSE))</f>
        <v/>
      </c>
      <c r="AH40" s="432"/>
      <c r="AI40" s="423" t="str">
        <f>IF(ISERROR(VLOOKUP($AB40&amp;$Z$3&amp;AI$4,【進行】結果入力表!$Q$7:$V$150,2,FALSE)),"",VLOOKUP($AB40&amp;$Z$3&amp;AI$4,【進行】結果入力表!$Q$7:$V$150,2,FALSE))</f>
        <v/>
      </c>
      <c r="AJ40" s="424"/>
      <c r="AK40" s="184" t="str">
        <f>IF(AI40="","",COUNTIF(AE40:AJ40,"w"))</f>
        <v/>
      </c>
      <c r="AL40" s="185" t="str">
        <f>IF(AI40="","",COUNT(AG40,AI40))</f>
        <v/>
      </c>
      <c r="AM40" s="403" t="e">
        <f>SUM(AE40:AJ40)+AK40*AD40</f>
        <v>#VALUE!</v>
      </c>
      <c r="AN40" s="404"/>
      <c r="AO40" s="207" t="str">
        <f>IF(AI40="","",AM40/AD40*180)</f>
        <v/>
      </c>
      <c r="AP40" s="186" t="e">
        <f>IF(AE41="w",180,AE41/AD40*180)+IF(AE42="w",180,AE42/AD40*180)</f>
        <v>#VALUE!</v>
      </c>
      <c r="AQ40" s="186" t="e">
        <f>AK40*10000000+AO40*AK10039*10000000+AO40*1000-AP40</f>
        <v>#VALUE!</v>
      </c>
      <c r="AR40" s="187" t="str">
        <f>IF(AI40="","",RANK(AQ40:AQ42,AQ40:AQ42,0))</f>
        <v/>
      </c>
      <c r="AT40" s="7">
        <v>3</v>
      </c>
      <c r="AU40" s="313">
        <v>4</v>
      </c>
      <c r="AV40" s="419" t="str">
        <f>IF(【準備】登録!$U$6&lt;AV39,"",AV35)</f>
        <v/>
      </c>
      <c r="AW40" s="420"/>
      <c r="AX40" s="411" t="str">
        <f>IF(VLOOKUP(VALUE($A40&amp;$D39),【準備】登録!$AI$5:$AL$28,3,FALSE)=0,"",VLOOKUP(VALUE($A40&amp;$D39),【準備】登録!$AI$5:$AL$28,3,FALSE))</f>
        <v/>
      </c>
      <c r="AY40" s="412"/>
      <c r="AZ40" s="183" t="e">
        <f>VLOOKUP(AX40,【準備】登録!$AK$4:$AL$27,2,FALSE)</f>
        <v>#N/A</v>
      </c>
      <c r="BA40" s="430"/>
      <c r="BB40" s="431"/>
      <c r="BC40" s="423" t="str">
        <f>IF(ISERROR(VLOOKUP($AX40&amp;$AV$3&amp;BC$4,【進行】結果入力表!$Q$7:$V$150,2,FALSE)),"",VLOOKUP($AX40&amp;$AV$3&amp;BC$4,【進行】結果入力表!$Q$7:$V$150,2,FALSE))</f>
        <v/>
      </c>
      <c r="BD40" s="432"/>
      <c r="BE40" s="423" t="str">
        <f>IF(ISERROR(VLOOKUP($AX40&amp;$AV$3&amp;BE$4,【進行】結果入力表!$Q$7:$V$150,2,FALSE)),"",VLOOKUP($AX40&amp;$AV$3&amp;BE$4,【進行】結果入力表!$Q$7:$V$150,2,FALSE))</f>
        <v/>
      </c>
      <c r="BF40" s="424"/>
      <c r="BG40" s="213" t="str">
        <f>IF(BE40="","",COUNTIF(BA40:BF40,"w"))</f>
        <v/>
      </c>
      <c r="BH40" s="214" t="str">
        <f>IF(BE40="","",COUNT(BC40,BE40))</f>
        <v/>
      </c>
      <c r="BI40" s="403" t="e">
        <f>SUM(BA40:BF40)+BG40*AZ40</f>
        <v>#VALUE!</v>
      </c>
      <c r="BJ40" s="404"/>
      <c r="BK40" s="215" t="str">
        <f>IF(BE40="","",BI40/AZ40*180)</f>
        <v/>
      </c>
      <c r="BL40" s="186" t="e">
        <f>IF(BA41="w",180,BA41/AZ40*180)+IF(BA42="w",180,BA42/AZ40*180)</f>
        <v>#VALUE!</v>
      </c>
      <c r="BM40" s="186" t="e">
        <f>BG40*10000000+BK40*BG10039*10000000+BK40*1000-BL40</f>
        <v>#VALUE!</v>
      </c>
      <c r="BN40" s="239" t="str">
        <f>IF(BE40="","",RANK(BM40:BM42,BM40:BM42,0))</f>
        <v/>
      </c>
    </row>
    <row r="41" spans="1:66" s="7" customFormat="1" ht="12">
      <c r="A41" s="7">
        <v>2</v>
      </c>
      <c r="B41" s="7">
        <v>8</v>
      </c>
      <c r="D41" s="421" t="str">
        <f>IF(【準備】登録!$U$6&lt;D39,"",D36)</f>
        <v/>
      </c>
      <c r="E41" s="422"/>
      <c r="F41" s="413" t="str">
        <f>IF(VLOOKUP(VALUE($A41&amp;$D39),【準備】登録!$AI$5:$AL$28,3,FALSE)=0,"",VLOOKUP(VALUE($A41&amp;$D39),【準備】登録!$AI$5:$AL$28,3,FALSE))</f>
        <v/>
      </c>
      <c r="G41" s="414"/>
      <c r="H41" s="188" t="e">
        <f>VLOOKUP(F41,【準備】登録!$AK$4:$AL$27,2,FALSE)</f>
        <v>#N/A</v>
      </c>
      <c r="I41" s="435" t="str">
        <f>IF(ISERROR(VLOOKUP($F41&amp;$D$3&amp;I$4,【進行】結果入力表!$Q$7:$V$150,2,FALSE)),"",VLOOKUP($F41&amp;$D$3&amp;I$4,【進行】結果入力表!$Q$7:$V$150,2,FALSE))</f>
        <v/>
      </c>
      <c r="J41" s="436"/>
      <c r="K41" s="437"/>
      <c r="L41" s="438"/>
      <c r="M41" s="439" t="str">
        <f>IF(ISERROR(VLOOKUP($F41&amp;$D$3&amp;M$4,【進行】結果入力表!$Q$7:$V$150,2,FALSE)),"",VLOOKUP($F41&amp;$D$3&amp;M$4,【進行】結果入力表!$Q$7:$V$150,2,FALSE))</f>
        <v/>
      </c>
      <c r="N41" s="440"/>
      <c r="O41" s="189" t="str">
        <f>IF(M40="","",COUNTIF(I41:N41,"w"))</f>
        <v/>
      </c>
      <c r="P41" s="190" t="str">
        <f>IF(M40="","",COUNT(I41,M41))</f>
        <v/>
      </c>
      <c r="Q41" s="405" t="e">
        <f>SUM(I41:N41)+O41*H41</f>
        <v>#VALUE!</v>
      </c>
      <c r="R41" s="406"/>
      <c r="S41" s="190" t="str">
        <f>IF(M40="","",Q41/H41*180)</f>
        <v/>
      </c>
      <c r="T41" s="191" t="e">
        <f>IF(K40="w",180,K40/H41*180)+IF(K42="w",180,K42/H41*180)</f>
        <v>#VALUE!</v>
      </c>
      <c r="U41" s="191" t="e">
        <f>O41*10000000+S41*O10040*10000000+S41*1000-T41</f>
        <v>#VALUE!</v>
      </c>
      <c r="V41" s="192" t="str">
        <f>IF(M40="","",RANK(U40:U42,U40:U42,0))</f>
        <v/>
      </c>
      <c r="X41" s="7">
        <v>2</v>
      </c>
      <c r="Y41" s="313">
        <v>1</v>
      </c>
      <c r="Z41" s="421" t="str">
        <f>IF(【準備】登録!$U$6&lt;Z39,"",Z36)</f>
        <v/>
      </c>
      <c r="AA41" s="422"/>
      <c r="AB41" s="413" t="str">
        <f>IF(VLOOKUP(VALUE($A41&amp;$D39),【準備】登録!$AI$5:$AL$28,3,FALSE)=0,"",VLOOKUP(VALUE($A41&amp;$D39),【準備】登録!$AI$5:$AL$28,3,FALSE))</f>
        <v/>
      </c>
      <c r="AC41" s="414"/>
      <c r="AD41" s="188" t="e">
        <f>VLOOKUP(AB41,【準備】登録!$AK$4:$AL$27,2,FALSE)</f>
        <v>#N/A</v>
      </c>
      <c r="AE41" s="435" t="str">
        <f>IF(ISERROR(VLOOKUP($AB41&amp;$Z$3&amp;AE$4,【進行】結果入力表!$Q$7:$V$150,2,FALSE)),"",VLOOKUP($AB41&amp;$Z$3&amp;AE$4,【進行】結果入力表!$Q$7:$V$150,2,FALSE))</f>
        <v/>
      </c>
      <c r="AF41" s="436"/>
      <c r="AG41" s="437"/>
      <c r="AH41" s="438"/>
      <c r="AI41" s="439" t="str">
        <f>IF(ISERROR(VLOOKUP($AB41&amp;$Z$3&amp;AI$4,【進行】結果入力表!$Q$7:$V$150,2,FALSE)),"",VLOOKUP($AB41&amp;$Z$3&amp;AI$4,【進行】結果入力表!$Q$7:$V$150,2,FALSE))</f>
        <v/>
      </c>
      <c r="AJ41" s="440"/>
      <c r="AK41" s="189" t="str">
        <f>IF(AI40="","",COUNTIF(AE41:AJ41,"w"))</f>
        <v/>
      </c>
      <c r="AL41" s="190" t="str">
        <f>IF(AI40="","",COUNT(AE41,AI41))</f>
        <v/>
      </c>
      <c r="AM41" s="405" t="e">
        <f>SUM(AE41:AJ41)+AK41*AD41</f>
        <v>#VALUE!</v>
      </c>
      <c r="AN41" s="406"/>
      <c r="AO41" s="204" t="str">
        <f>IF(AI40="","",AM41/AD41*180)</f>
        <v/>
      </c>
      <c r="AP41" s="191" t="e">
        <f>IF(AG40="w",180,AG40/AD41*180)+IF(AG42="w",180,AG42/AD41*180)</f>
        <v>#VALUE!</v>
      </c>
      <c r="AQ41" s="191" t="e">
        <f>AK41*10000000+AO41*AK10040*10000000+AO41*1000-AP41</f>
        <v>#VALUE!</v>
      </c>
      <c r="AR41" s="192" t="str">
        <f>IF(AI40="","",RANK(AQ40:AQ42,AQ40:AQ42,0))</f>
        <v/>
      </c>
      <c r="AT41" s="7">
        <v>2</v>
      </c>
      <c r="AU41" s="313">
        <v>2</v>
      </c>
      <c r="AV41" s="421" t="str">
        <f>IF(【準備】登録!$U$6&lt;AV39,"",AV36)</f>
        <v/>
      </c>
      <c r="AW41" s="422"/>
      <c r="AX41" s="413" t="str">
        <f>IF(VLOOKUP(VALUE($A41&amp;$D39),【準備】登録!$AI$5:$AL$28,3,FALSE)=0,"",VLOOKUP(VALUE($A41&amp;$D39),【準備】登録!$AI$5:$AL$28,3,FALSE))</f>
        <v/>
      </c>
      <c r="AY41" s="414"/>
      <c r="AZ41" s="188" t="e">
        <f>VLOOKUP(AX41,【準備】登録!$AK$4:$AL$27,2,FALSE)</f>
        <v>#N/A</v>
      </c>
      <c r="BA41" s="435" t="str">
        <f>IF(ISERROR(VLOOKUP($AX41&amp;$AV$3&amp;BA$4,【進行】結果入力表!$Q$7:$V$150,2,FALSE)),"",VLOOKUP($AX41&amp;$AV$3&amp;BA$4,【進行】結果入力表!$Q$7:$V$150,2,FALSE))</f>
        <v/>
      </c>
      <c r="BB41" s="436"/>
      <c r="BC41" s="437"/>
      <c r="BD41" s="438"/>
      <c r="BE41" s="439" t="str">
        <f>IF(ISERROR(VLOOKUP($AX41&amp;$AV$3&amp;BE$4,【進行】結果入力表!$Q$7:$V$150,2,FALSE)),"",VLOOKUP($AX41&amp;$AV$3&amp;BE$4,【進行】結果入力表!$Q$7:$V$150,2,FALSE))</f>
        <v/>
      </c>
      <c r="BF41" s="440"/>
      <c r="BG41" s="216" t="str">
        <f>IF(BE40="","",COUNTIF(BA41:BF41,"w"))</f>
        <v/>
      </c>
      <c r="BH41" s="217" t="str">
        <f>IF(BE40="","",COUNT(BA41,BE41))</f>
        <v/>
      </c>
      <c r="BI41" s="405" t="e">
        <f>SUM(BA41:BF41)+BG41*AZ41</f>
        <v>#VALUE!</v>
      </c>
      <c r="BJ41" s="406"/>
      <c r="BK41" s="218" t="str">
        <f>IF(BE40="","",BI41/AZ41*180)</f>
        <v/>
      </c>
      <c r="BL41" s="191" t="e">
        <f>IF(BC40="w",180,BC40/AZ41*180)+IF(BC42="w",180,BC42/AZ41*180)</f>
        <v>#VALUE!</v>
      </c>
      <c r="BM41" s="191" t="e">
        <f>BG41*10000000+BK41*BG10040*10000000+BK41*1000-BL41</f>
        <v>#VALUE!</v>
      </c>
      <c r="BN41" s="240" t="str">
        <f>IF(BE40="","",RANK(BM40:BM42,BM40:BM42,0))</f>
        <v/>
      </c>
    </row>
    <row r="42" spans="1:66" s="7" customFormat="1" ht="12">
      <c r="A42" s="7">
        <v>1</v>
      </c>
      <c r="B42" s="7">
        <v>8</v>
      </c>
      <c r="D42" s="407" t="str">
        <f>IF(【準備】登録!$U$6&lt;D39,"",D37)</f>
        <v/>
      </c>
      <c r="E42" s="408"/>
      <c r="F42" s="415" t="str">
        <f>IF(VLOOKUP(VALUE($A42&amp;$D39),【準備】登録!$AI$5:$AL$28,3,FALSE)=0,"",VLOOKUP(VALUE($A42&amp;$D39),【準備】登録!$AI$5:$AL$28,3,FALSE))</f>
        <v/>
      </c>
      <c r="G42" s="416"/>
      <c r="H42" s="193" t="e">
        <f>VLOOKUP(F42,【準備】登録!$AK$4:$AL$27,2,FALSE)</f>
        <v>#N/A</v>
      </c>
      <c r="I42" s="425" t="str">
        <f>IF(ISERROR(VLOOKUP($F42&amp;$D$3&amp;I$4,【進行】結果入力表!$Q$7:$V$150,2,FALSE)),"",VLOOKUP($F42&amp;$D$3&amp;I$4,【進行】結果入力表!$Q$7:$V$150,2,FALSE))</f>
        <v/>
      </c>
      <c r="J42" s="426"/>
      <c r="K42" s="427" t="str">
        <f>IF(ISERROR(VLOOKUP($F42&amp;$D$3&amp;K$4,【進行】結果入力表!$Q$7:$V$150,2,FALSE)),"",VLOOKUP($F42&amp;$D$3&amp;K$4,【進行】結果入力表!$Q$7:$V$150,2,FALSE))</f>
        <v/>
      </c>
      <c r="L42" s="426"/>
      <c r="M42" s="428"/>
      <c r="N42" s="429"/>
      <c r="O42" s="194" t="str">
        <f>IF(M40="","",COUNTIF(I42:N42,"w"))</f>
        <v/>
      </c>
      <c r="P42" s="195" t="str">
        <f>IF(M40="","",COUNT(I42,K42))</f>
        <v/>
      </c>
      <c r="Q42" s="433" t="e">
        <f>SUM(I42:N42)+O42*H42</f>
        <v>#VALUE!</v>
      </c>
      <c r="R42" s="434"/>
      <c r="S42" s="195" t="str">
        <f>IF(M40="","",Q42/H42*180)</f>
        <v/>
      </c>
      <c r="T42" s="196" t="e">
        <f>IF(M40="w",180,M40/H42*180)+IF(M41="w",180,M41/H42*180)</f>
        <v>#VALUE!</v>
      </c>
      <c r="U42" s="196" t="e">
        <f>O42*10000000+S42*O10041*10000000+S42*1000-T42</f>
        <v>#VALUE!</v>
      </c>
      <c r="V42" s="197" t="str">
        <f>IF(M40="","",RANK(U40:U42,U40:U42,0))</f>
        <v/>
      </c>
      <c r="X42" s="7">
        <v>1</v>
      </c>
      <c r="Y42" s="7">
        <v>8</v>
      </c>
      <c r="Z42" s="407" t="str">
        <f>IF(【準備】登録!$U$6&lt;Z39,"",Z37)</f>
        <v/>
      </c>
      <c r="AA42" s="408"/>
      <c r="AB42" s="415" t="str">
        <f>IF(VLOOKUP(VALUE($A42&amp;$D39),【準備】登録!$AI$5:$AL$28,3,FALSE)=0,"",VLOOKUP(VALUE($A42&amp;$D39),【準備】登録!$AI$5:$AL$28,3,FALSE))</f>
        <v/>
      </c>
      <c r="AC42" s="416"/>
      <c r="AD42" s="193" t="e">
        <f>VLOOKUP(AB42,【準備】登録!$AK$4:$AL$27,2,FALSE)</f>
        <v>#N/A</v>
      </c>
      <c r="AE42" s="425" t="str">
        <f>IF(ISERROR(VLOOKUP($AB42&amp;$Z$3&amp;AE$4,【進行】結果入力表!$Q$7:$V$150,2,FALSE)),"",VLOOKUP($AB42&amp;$Z$3&amp;AE$4,【進行】結果入力表!$Q$7:$V$150,2,FALSE))</f>
        <v/>
      </c>
      <c r="AF42" s="426"/>
      <c r="AG42" s="427" t="str">
        <f>IF(ISERROR(VLOOKUP($AB42&amp;$Z$3&amp;AG$4,【進行】結果入力表!$Q$7:$V$150,2,FALSE)),"",VLOOKUP($AB42&amp;$Z$3&amp;AG$4,【進行】結果入力表!$Q$7:$V$150,2,FALSE))</f>
        <v/>
      </c>
      <c r="AH42" s="426"/>
      <c r="AI42" s="428"/>
      <c r="AJ42" s="429"/>
      <c r="AK42" s="194" t="str">
        <f>IF(AI40="","",COUNTIF(AE42:AJ42,"w"))</f>
        <v/>
      </c>
      <c r="AL42" s="195" t="str">
        <f>IF(AI40="","",COUNT(AE42,AG42))</f>
        <v/>
      </c>
      <c r="AM42" s="433" t="e">
        <f>SUM(AE42:AJ42)+AK42*AD42</f>
        <v>#VALUE!</v>
      </c>
      <c r="AN42" s="434"/>
      <c r="AO42" s="205" t="str">
        <f>IF(AI40="","",AM42/AD42*180)</f>
        <v/>
      </c>
      <c r="AP42" s="196" t="e">
        <f>IF(AI40="w",180,AI40/AD42*180)+IF(AI41="w",180,AI41/AD42*180)</f>
        <v>#VALUE!</v>
      </c>
      <c r="AQ42" s="196" t="e">
        <f>AK42*10000000+AO42*AK10041*10000000+AO42*1000-AP42</f>
        <v>#VALUE!</v>
      </c>
      <c r="AR42" s="197" t="str">
        <f>IF(AI40="","",RANK(AQ40:AQ42,AQ40:AQ42,0))</f>
        <v/>
      </c>
      <c r="AT42" s="7">
        <v>1</v>
      </c>
      <c r="AU42" s="7">
        <v>8</v>
      </c>
      <c r="AV42" s="407" t="str">
        <f>IF(【準備】登録!$U$6&lt;AV39,"",AV37)</f>
        <v/>
      </c>
      <c r="AW42" s="408"/>
      <c r="AX42" s="415" t="str">
        <f>IF(VLOOKUP(VALUE($A42&amp;$D39),【準備】登録!$AI$5:$AL$28,3,FALSE)=0,"",VLOOKUP(VALUE($A42&amp;$D39),【準備】登録!$AI$5:$AL$28,3,FALSE))</f>
        <v/>
      </c>
      <c r="AY42" s="416"/>
      <c r="AZ42" s="193" t="e">
        <f>VLOOKUP(AX42,【準備】登録!$AK$4:$AL$27,2,FALSE)</f>
        <v>#N/A</v>
      </c>
      <c r="BA42" s="425" t="str">
        <f>IF(ISERROR(VLOOKUP($AX42&amp;$AV$3&amp;BA$4,【進行】結果入力表!$Q$7:$V$150,2,FALSE)),"",VLOOKUP($AX42&amp;$AV$3&amp;BA$4,【進行】結果入力表!$Q$7:$V$150,2,FALSE))</f>
        <v/>
      </c>
      <c r="BB42" s="426"/>
      <c r="BC42" s="427" t="str">
        <f>IF(ISERROR(VLOOKUP($AX42&amp;$AV$3&amp;BC$4,【進行】結果入力表!$Q$7:$V$150,2,FALSE)),"",VLOOKUP($AX42&amp;$AV$3&amp;BC$4,【進行】結果入力表!$Q$7:$V$150,2,FALSE))</f>
        <v/>
      </c>
      <c r="BD42" s="426"/>
      <c r="BE42" s="428"/>
      <c r="BF42" s="429"/>
      <c r="BG42" s="219" t="str">
        <f>IF(BE40="","",COUNTIF(BA42:BF42,"w"))</f>
        <v/>
      </c>
      <c r="BH42" s="220" t="str">
        <f>IF(BE40="","",COUNT(BA42,BC42))</f>
        <v/>
      </c>
      <c r="BI42" s="433" t="e">
        <f>SUM(BA42:BF42)+BG42*AZ42</f>
        <v>#VALUE!</v>
      </c>
      <c r="BJ42" s="434"/>
      <c r="BK42" s="221" t="str">
        <f>IF(BE40="","",BI42/AZ42*180)</f>
        <v/>
      </c>
      <c r="BL42" s="196" t="e">
        <f>IF(BE40="w",180,BE40/AZ42*180)+IF(BE41="w",180,BE41/AZ42*180)</f>
        <v>#VALUE!</v>
      </c>
      <c r="BM42" s="196" t="e">
        <f>BG42*10000000+BK42*BG10041*10000000+BK42*1000-BL42</f>
        <v>#VALUE!</v>
      </c>
      <c r="BN42" s="241" t="str">
        <f>IF(BE40="","",RANK(BM40:BM42,BM40:BM42,0))</f>
        <v/>
      </c>
    </row>
    <row r="43" spans="1:66">
      <c r="E43" s="169" t="s">
        <v>62</v>
      </c>
      <c r="F43" s="159" t="s">
        <v>63</v>
      </c>
      <c r="G43" s="170"/>
      <c r="H43" s="201"/>
      <c r="I43" s="170"/>
      <c r="J43" s="170"/>
      <c r="K43" s="170"/>
      <c r="L43" s="170"/>
      <c r="M43" s="170"/>
      <c r="N43" s="170"/>
      <c r="O43" s="170"/>
      <c r="P43" s="170"/>
      <c r="Q43" s="201"/>
      <c r="R43" s="201"/>
      <c r="S43" s="170"/>
      <c r="T43" s="170"/>
      <c r="U43" s="201"/>
      <c r="V43" s="170"/>
      <c r="W43" s="159"/>
      <c r="Z43" s="170"/>
      <c r="AA43" s="170"/>
      <c r="AB43" s="170"/>
      <c r="AC43" s="170"/>
      <c r="AD43" s="201"/>
      <c r="AE43" s="170"/>
      <c r="AF43" s="170"/>
      <c r="AG43" s="170"/>
      <c r="AH43" s="170"/>
      <c r="AI43" s="170"/>
      <c r="AJ43" s="170"/>
      <c r="AK43" s="170"/>
      <c r="AL43" s="170"/>
      <c r="AM43" s="201"/>
      <c r="AN43" s="201"/>
      <c r="AO43" s="170"/>
      <c r="AP43" s="170"/>
      <c r="AQ43" s="201"/>
      <c r="AR43" s="170"/>
      <c r="AS43" s="159"/>
      <c r="AV43" s="170"/>
      <c r="AW43" s="170"/>
      <c r="AX43" s="170"/>
      <c r="AY43" s="170"/>
      <c r="AZ43" s="201"/>
      <c r="BA43" s="170"/>
      <c r="BB43" s="170"/>
      <c r="BC43" s="170"/>
      <c r="BD43" s="170"/>
      <c r="BE43" s="170"/>
      <c r="BF43" s="170"/>
      <c r="BG43" s="170"/>
      <c r="BH43" s="170"/>
      <c r="BI43" s="201"/>
      <c r="BJ43" s="201"/>
      <c r="BK43" s="224"/>
      <c r="BL43" s="170"/>
      <c r="BM43" s="201"/>
      <c r="BN43" s="222"/>
    </row>
  </sheetData>
  <mergeCells count="514">
    <mergeCell ref="AV41:AW41"/>
    <mergeCell ref="AX41:AY41"/>
    <mergeCell ref="AV42:AW42"/>
    <mergeCell ref="AX42:AY42"/>
    <mergeCell ref="BI39:BJ39"/>
    <mergeCell ref="BI36:BJ36"/>
    <mergeCell ref="BA36:BB36"/>
    <mergeCell ref="BI40:BJ40"/>
    <mergeCell ref="BC40:BD40"/>
    <mergeCell ref="BI41:BJ41"/>
    <mergeCell ref="BC42:BD42"/>
    <mergeCell ref="BA41:BB41"/>
    <mergeCell ref="BC41:BD41"/>
    <mergeCell ref="BA42:BB42"/>
    <mergeCell ref="BE42:BF42"/>
    <mergeCell ref="BI42:BJ42"/>
    <mergeCell ref="BE41:BF41"/>
    <mergeCell ref="BG2:BN2"/>
    <mergeCell ref="BC39:BD39"/>
    <mergeCell ref="BI34:BJ34"/>
    <mergeCell ref="BE35:BF35"/>
    <mergeCell ref="BI35:BJ35"/>
    <mergeCell ref="BI37:BJ37"/>
    <mergeCell ref="BC30:BD30"/>
    <mergeCell ref="BE37:BF37"/>
    <mergeCell ref="BE36:BF36"/>
    <mergeCell ref="BC36:BD36"/>
    <mergeCell ref="AV35:AW35"/>
    <mergeCell ref="AX35:AY35"/>
    <mergeCell ref="BA35:BB35"/>
    <mergeCell ref="BC35:BD35"/>
    <mergeCell ref="AV32:AW32"/>
    <mergeCell ref="AX32:AY32"/>
    <mergeCell ref="BA32:BB32"/>
    <mergeCell ref="BC31:BD31"/>
    <mergeCell ref="BE40:BF40"/>
    <mergeCell ref="BE39:BF39"/>
    <mergeCell ref="AV34:AW34"/>
    <mergeCell ref="AX34:AY34"/>
    <mergeCell ref="AV37:AW37"/>
    <mergeCell ref="AX37:AY37"/>
    <mergeCell ref="BA37:BB37"/>
    <mergeCell ref="BC37:BD37"/>
    <mergeCell ref="AV36:AW36"/>
    <mergeCell ref="AX36:AY36"/>
    <mergeCell ref="AV39:AW39"/>
    <mergeCell ref="AX39:AY39"/>
    <mergeCell ref="BA39:BB39"/>
    <mergeCell ref="AV40:AW40"/>
    <mergeCell ref="AX40:AY40"/>
    <mergeCell ref="BA40:BB40"/>
    <mergeCell ref="BE31:BF31"/>
    <mergeCell ref="BI25:BJ25"/>
    <mergeCell ref="BE27:BF27"/>
    <mergeCell ref="BI27:BJ27"/>
    <mergeCell ref="AV29:AW29"/>
    <mergeCell ref="AX29:AY29"/>
    <mergeCell ref="BE32:BF32"/>
    <mergeCell ref="AV30:AW30"/>
    <mergeCell ref="AX30:AY30"/>
    <mergeCell ref="BA30:BB30"/>
    <mergeCell ref="AV31:AW31"/>
    <mergeCell ref="AX31:AY31"/>
    <mergeCell ref="BA31:BB31"/>
    <mergeCell ref="BC32:BD32"/>
    <mergeCell ref="BI32:BJ32"/>
    <mergeCell ref="BI31:BJ31"/>
    <mergeCell ref="AV27:AW27"/>
    <mergeCell ref="AX27:AY27"/>
    <mergeCell ref="BA27:BB27"/>
    <mergeCell ref="BC27:BD27"/>
    <mergeCell ref="BA26:BB26"/>
    <mergeCell ref="BC26:BD26"/>
    <mergeCell ref="BI29:BJ29"/>
    <mergeCell ref="BE30:BF30"/>
    <mergeCell ref="BI30:BJ30"/>
    <mergeCell ref="BE26:BF26"/>
    <mergeCell ref="BI26:BJ26"/>
    <mergeCell ref="AV25:AW25"/>
    <mergeCell ref="AX25:AY25"/>
    <mergeCell ref="BA25:BB25"/>
    <mergeCell ref="BC25:BD25"/>
    <mergeCell ref="BI24:BJ24"/>
    <mergeCell ref="BE25:BF25"/>
    <mergeCell ref="AV26:AW26"/>
    <mergeCell ref="AX26:AY26"/>
    <mergeCell ref="BI19:BJ19"/>
    <mergeCell ref="BE20:BF20"/>
    <mergeCell ref="BI20:BJ20"/>
    <mergeCell ref="BE22:BF22"/>
    <mergeCell ref="BI22:BJ22"/>
    <mergeCell ref="BI21:BJ21"/>
    <mergeCell ref="BE21:BF21"/>
    <mergeCell ref="AV24:AW24"/>
    <mergeCell ref="AX24:AY24"/>
    <mergeCell ref="AV20:AW20"/>
    <mergeCell ref="AX20:AY20"/>
    <mergeCell ref="BA20:BB20"/>
    <mergeCell ref="BC20:BD20"/>
    <mergeCell ref="AV19:AW19"/>
    <mergeCell ref="AX19:AY19"/>
    <mergeCell ref="AV17:AW17"/>
    <mergeCell ref="AX17:AY17"/>
    <mergeCell ref="AV22:AW22"/>
    <mergeCell ref="AX22:AY22"/>
    <mergeCell ref="BA22:BB22"/>
    <mergeCell ref="BC22:BD22"/>
    <mergeCell ref="AV21:AW21"/>
    <mergeCell ref="AX21:AY21"/>
    <mergeCell ref="BA21:BB21"/>
    <mergeCell ref="BC21:BD21"/>
    <mergeCell ref="AV16:AW16"/>
    <mergeCell ref="AX16:AY16"/>
    <mergeCell ref="AV12:AW12"/>
    <mergeCell ref="AX12:AY12"/>
    <mergeCell ref="BA12:BB12"/>
    <mergeCell ref="BC12:BD12"/>
    <mergeCell ref="BA15:BB15"/>
    <mergeCell ref="BE17:BF17"/>
    <mergeCell ref="BI17:BJ17"/>
    <mergeCell ref="BA17:BB17"/>
    <mergeCell ref="BC17:BD17"/>
    <mergeCell ref="BE16:BF16"/>
    <mergeCell ref="BI16:BJ16"/>
    <mergeCell ref="BA16:BB16"/>
    <mergeCell ref="BC16:BD16"/>
    <mergeCell ref="AV14:AW14"/>
    <mergeCell ref="AX14:AY14"/>
    <mergeCell ref="AV15:AW15"/>
    <mergeCell ref="AX15:AY15"/>
    <mergeCell ref="BC6:BD6"/>
    <mergeCell ref="AV9:AW9"/>
    <mergeCell ref="AX9:AY9"/>
    <mergeCell ref="AV11:AW11"/>
    <mergeCell ref="AX11:AY11"/>
    <mergeCell ref="BE12:BF12"/>
    <mergeCell ref="BI12:BJ12"/>
    <mergeCell ref="BI11:BJ11"/>
    <mergeCell ref="BC10:BD10"/>
    <mergeCell ref="BI9:BJ9"/>
    <mergeCell ref="BE10:BF10"/>
    <mergeCell ref="BI10:BJ10"/>
    <mergeCell ref="BE11:BF11"/>
    <mergeCell ref="BC15:BD15"/>
    <mergeCell ref="BI14:BJ14"/>
    <mergeCell ref="BE15:BF15"/>
    <mergeCell ref="BI15:BJ15"/>
    <mergeCell ref="BA6:BB6"/>
    <mergeCell ref="AV4:AW4"/>
    <mergeCell ref="AX4:AY4"/>
    <mergeCell ref="BA11:BB11"/>
    <mergeCell ref="BC11:BD11"/>
    <mergeCell ref="AV10:AW10"/>
    <mergeCell ref="AX10:AY10"/>
    <mergeCell ref="BA10:BB10"/>
    <mergeCell ref="BI5:BJ5"/>
    <mergeCell ref="BE7:BF7"/>
    <mergeCell ref="BI7:BJ7"/>
    <mergeCell ref="AV6:AW6"/>
    <mergeCell ref="AX6:AY6"/>
    <mergeCell ref="Z42:AA42"/>
    <mergeCell ref="AB42:AC42"/>
    <mergeCell ref="AE42:AF42"/>
    <mergeCell ref="AG42:AH42"/>
    <mergeCell ref="BI4:BJ4"/>
    <mergeCell ref="BE5:BF5"/>
    <mergeCell ref="AM41:AN41"/>
    <mergeCell ref="Z41:AA41"/>
    <mergeCell ref="AB41:AC41"/>
    <mergeCell ref="AE41:AF41"/>
    <mergeCell ref="AG41:AH41"/>
    <mergeCell ref="Z39:AA39"/>
    <mergeCell ref="Z40:AA40"/>
    <mergeCell ref="AB40:AC40"/>
    <mergeCell ref="BE6:BF6"/>
    <mergeCell ref="BI6:BJ6"/>
    <mergeCell ref="AV5:AW5"/>
    <mergeCell ref="AX5:AY5"/>
    <mergeCell ref="BA5:BB5"/>
    <mergeCell ref="BC5:BD5"/>
    <mergeCell ref="AV7:AW7"/>
    <mergeCell ref="AX7:AY7"/>
    <mergeCell ref="BA7:BB7"/>
    <mergeCell ref="BC7:BD7"/>
    <mergeCell ref="AM37:AN37"/>
    <mergeCell ref="AI42:AJ42"/>
    <mergeCell ref="AM42:AN42"/>
    <mergeCell ref="AM39:AN39"/>
    <mergeCell ref="AI40:AJ40"/>
    <mergeCell ref="AM40:AN40"/>
    <mergeCell ref="AI41:AJ41"/>
    <mergeCell ref="AE40:AF40"/>
    <mergeCell ref="AG40:AH40"/>
    <mergeCell ref="AI39:AJ39"/>
    <mergeCell ref="Z37:AA37"/>
    <mergeCell ref="AB37:AC37"/>
    <mergeCell ref="AE37:AF37"/>
    <mergeCell ref="AG37:AH37"/>
    <mergeCell ref="AE36:AF36"/>
    <mergeCell ref="AB39:AC39"/>
    <mergeCell ref="AE39:AF39"/>
    <mergeCell ref="AG39:AH39"/>
    <mergeCell ref="AI37:AJ37"/>
    <mergeCell ref="AB32:AC32"/>
    <mergeCell ref="AE32:AF32"/>
    <mergeCell ref="Z34:AA34"/>
    <mergeCell ref="AB34:AC34"/>
    <mergeCell ref="AG36:AH36"/>
    <mergeCell ref="AG32:AH32"/>
    <mergeCell ref="AI36:AJ36"/>
    <mergeCell ref="AM36:AN36"/>
    <mergeCell ref="Z35:AA35"/>
    <mergeCell ref="AB35:AC35"/>
    <mergeCell ref="AE35:AF35"/>
    <mergeCell ref="AG35:AH35"/>
    <mergeCell ref="Z36:AA36"/>
    <mergeCell ref="AB36:AC36"/>
    <mergeCell ref="AM35:AN35"/>
    <mergeCell ref="AM32:AN32"/>
    <mergeCell ref="AM31:AN31"/>
    <mergeCell ref="AG30:AH30"/>
    <mergeCell ref="AM29:AN29"/>
    <mergeCell ref="AI30:AJ30"/>
    <mergeCell ref="AM30:AN30"/>
    <mergeCell ref="AI32:AJ32"/>
    <mergeCell ref="AM34:AN34"/>
    <mergeCell ref="AI35:AJ35"/>
    <mergeCell ref="AE26:AF26"/>
    <mergeCell ref="AM25:AN25"/>
    <mergeCell ref="AE31:AF31"/>
    <mergeCell ref="AG31:AH31"/>
    <mergeCell ref="AI31:AJ31"/>
    <mergeCell ref="Z30:AA30"/>
    <mergeCell ref="AB30:AC30"/>
    <mergeCell ref="AE30:AF30"/>
    <mergeCell ref="AM26:AN26"/>
    <mergeCell ref="AI27:AJ27"/>
    <mergeCell ref="AM27:AN27"/>
    <mergeCell ref="Z26:AA26"/>
    <mergeCell ref="AB26:AC26"/>
    <mergeCell ref="AG26:AH26"/>
    <mergeCell ref="Z27:AA27"/>
    <mergeCell ref="AB27:AC27"/>
    <mergeCell ref="AE27:AF27"/>
    <mergeCell ref="AG27:AH27"/>
    <mergeCell ref="AI26:AJ26"/>
    <mergeCell ref="Z29:AA29"/>
    <mergeCell ref="AB29:AC29"/>
    <mergeCell ref="Z31:AA31"/>
    <mergeCell ref="AB31:AC31"/>
    <mergeCell ref="AB22:AC22"/>
    <mergeCell ref="AE22:AF22"/>
    <mergeCell ref="AG22:AH22"/>
    <mergeCell ref="Z24:AA24"/>
    <mergeCell ref="AB24:AC24"/>
    <mergeCell ref="Z25:AA25"/>
    <mergeCell ref="AB25:AC25"/>
    <mergeCell ref="AE25:AF25"/>
    <mergeCell ref="AG25:AH25"/>
    <mergeCell ref="AM19:AN19"/>
    <mergeCell ref="AI20:AJ20"/>
    <mergeCell ref="AM20:AN20"/>
    <mergeCell ref="AI22:AJ22"/>
    <mergeCell ref="AM22:AN22"/>
    <mergeCell ref="AM21:AN21"/>
    <mergeCell ref="AI21:AJ21"/>
    <mergeCell ref="AM24:AN24"/>
    <mergeCell ref="AI25:AJ25"/>
    <mergeCell ref="AB19:AC19"/>
    <mergeCell ref="Z16:AA16"/>
    <mergeCell ref="AB16:AC16"/>
    <mergeCell ref="Z17:AA17"/>
    <mergeCell ref="AB17:AC17"/>
    <mergeCell ref="Z21:AA21"/>
    <mergeCell ref="AB21:AC21"/>
    <mergeCell ref="AE21:AF21"/>
    <mergeCell ref="AG21:AH21"/>
    <mergeCell ref="Z20:AA20"/>
    <mergeCell ref="AB20:AC20"/>
    <mergeCell ref="AE20:AF20"/>
    <mergeCell ref="AG20:AH20"/>
    <mergeCell ref="AB12:AC12"/>
    <mergeCell ref="AE12:AF12"/>
    <mergeCell ref="AG12:AH12"/>
    <mergeCell ref="AE15:AF15"/>
    <mergeCell ref="AG15:AH15"/>
    <mergeCell ref="AI17:AJ17"/>
    <mergeCell ref="AM17:AN17"/>
    <mergeCell ref="Z14:AA14"/>
    <mergeCell ref="AB14:AC14"/>
    <mergeCell ref="AI16:AJ16"/>
    <mergeCell ref="AM16:AN16"/>
    <mergeCell ref="Z15:AA15"/>
    <mergeCell ref="AB15:AC15"/>
    <mergeCell ref="AE17:AF17"/>
    <mergeCell ref="AG17:AH17"/>
    <mergeCell ref="AM14:AN14"/>
    <mergeCell ref="AI15:AJ15"/>
    <mergeCell ref="AM15:AN15"/>
    <mergeCell ref="AE16:AF16"/>
    <mergeCell ref="AG6:AH6"/>
    <mergeCell ref="AI12:AJ12"/>
    <mergeCell ref="AM12:AN12"/>
    <mergeCell ref="AM11:AN11"/>
    <mergeCell ref="AG10:AH10"/>
    <mergeCell ref="AM9:AN9"/>
    <mergeCell ref="AI10:AJ10"/>
    <mergeCell ref="AM4:AN4"/>
    <mergeCell ref="AI5:AJ5"/>
    <mergeCell ref="AE7:AF7"/>
    <mergeCell ref="AG7:AH7"/>
    <mergeCell ref="AE6:AF6"/>
    <mergeCell ref="AM6:AN6"/>
    <mergeCell ref="AG5:AH5"/>
    <mergeCell ref="AM5:AN5"/>
    <mergeCell ref="AI7:AJ7"/>
    <mergeCell ref="AM7:AN7"/>
    <mergeCell ref="AM10:AN10"/>
    <mergeCell ref="AE10:AF10"/>
    <mergeCell ref="Z4:AA4"/>
    <mergeCell ref="AB4:AC4"/>
    <mergeCell ref="AI6:AJ6"/>
    <mergeCell ref="I42:J42"/>
    <mergeCell ref="K42:L42"/>
    <mergeCell ref="I41:J41"/>
    <mergeCell ref="K41:L41"/>
    <mergeCell ref="Z5:AA5"/>
    <mergeCell ref="AB5:AC5"/>
    <mergeCell ref="AE5:AF5"/>
    <mergeCell ref="Z6:AA6"/>
    <mergeCell ref="AB6:AC6"/>
    <mergeCell ref="Z7:AA7"/>
    <mergeCell ref="AB7:AC7"/>
    <mergeCell ref="Z9:AA9"/>
    <mergeCell ref="AB9:AC9"/>
    <mergeCell ref="AI11:AJ11"/>
    <mergeCell ref="Z11:AA11"/>
    <mergeCell ref="AB11:AC11"/>
    <mergeCell ref="AE11:AF11"/>
    <mergeCell ref="AG11:AH11"/>
    <mergeCell ref="AB10:AC10"/>
    <mergeCell ref="AG16:AH16"/>
    <mergeCell ref="Z12:AA12"/>
    <mergeCell ref="Z10:AA10"/>
    <mergeCell ref="M39:N39"/>
    <mergeCell ref="Q39:R39"/>
    <mergeCell ref="M40:N40"/>
    <mergeCell ref="Q40:R40"/>
    <mergeCell ref="M41:N41"/>
    <mergeCell ref="Q41:R41"/>
    <mergeCell ref="M36:N36"/>
    <mergeCell ref="M31:N31"/>
    <mergeCell ref="Q31:R31"/>
    <mergeCell ref="Z19:AA19"/>
    <mergeCell ref="Z22:AA22"/>
    <mergeCell ref="Z32:AA32"/>
    <mergeCell ref="M42:N42"/>
    <mergeCell ref="Q42:R42"/>
    <mergeCell ref="D40:E40"/>
    <mergeCell ref="F40:G40"/>
    <mergeCell ref="I40:J40"/>
    <mergeCell ref="K40:L40"/>
    <mergeCell ref="D41:E41"/>
    <mergeCell ref="F41:G41"/>
    <mergeCell ref="D42:E42"/>
    <mergeCell ref="F42:G42"/>
    <mergeCell ref="D39:E39"/>
    <mergeCell ref="F39:G39"/>
    <mergeCell ref="I39:J39"/>
    <mergeCell ref="K39:L39"/>
    <mergeCell ref="Q34:R34"/>
    <mergeCell ref="M35:N35"/>
    <mergeCell ref="Q35:R35"/>
    <mergeCell ref="M37:N37"/>
    <mergeCell ref="Q37:R37"/>
    <mergeCell ref="Q36:R36"/>
    <mergeCell ref="D35:E35"/>
    <mergeCell ref="F35:G35"/>
    <mergeCell ref="I35:J35"/>
    <mergeCell ref="K35:L35"/>
    <mergeCell ref="D34:E34"/>
    <mergeCell ref="F34:G34"/>
    <mergeCell ref="D37:E37"/>
    <mergeCell ref="F37:G37"/>
    <mergeCell ref="I37:J37"/>
    <mergeCell ref="K37:L37"/>
    <mergeCell ref="D36:E36"/>
    <mergeCell ref="F36:G36"/>
    <mergeCell ref="I36:J36"/>
    <mergeCell ref="K36:L36"/>
    <mergeCell ref="K31:L31"/>
    <mergeCell ref="Q29:R29"/>
    <mergeCell ref="I31:J31"/>
    <mergeCell ref="D31:E31"/>
    <mergeCell ref="F31:G31"/>
    <mergeCell ref="D32:E32"/>
    <mergeCell ref="F32:G32"/>
    <mergeCell ref="M32:N32"/>
    <mergeCell ref="Q32:R32"/>
    <mergeCell ref="I32:J32"/>
    <mergeCell ref="K32:L32"/>
    <mergeCell ref="D27:E27"/>
    <mergeCell ref="F27:G27"/>
    <mergeCell ref="I27:J27"/>
    <mergeCell ref="K27:L27"/>
    <mergeCell ref="M30:N30"/>
    <mergeCell ref="Q30:R30"/>
    <mergeCell ref="D29:E29"/>
    <mergeCell ref="F29:G29"/>
    <mergeCell ref="D30:E30"/>
    <mergeCell ref="F30:G30"/>
    <mergeCell ref="Q24:R24"/>
    <mergeCell ref="M25:N25"/>
    <mergeCell ref="Q25:R25"/>
    <mergeCell ref="I30:J30"/>
    <mergeCell ref="K30:L30"/>
    <mergeCell ref="M27:N27"/>
    <mergeCell ref="Q27:R27"/>
    <mergeCell ref="Q26:R26"/>
    <mergeCell ref="K25:L25"/>
    <mergeCell ref="D24:E24"/>
    <mergeCell ref="F24:G24"/>
    <mergeCell ref="M26:N26"/>
    <mergeCell ref="D26:E26"/>
    <mergeCell ref="F26:G26"/>
    <mergeCell ref="I26:J26"/>
    <mergeCell ref="K26:L26"/>
    <mergeCell ref="D25:E25"/>
    <mergeCell ref="F25:G25"/>
    <mergeCell ref="I25:J25"/>
    <mergeCell ref="D22:E22"/>
    <mergeCell ref="F22:G22"/>
    <mergeCell ref="I22:J22"/>
    <mergeCell ref="K22:L22"/>
    <mergeCell ref="Q19:R19"/>
    <mergeCell ref="M20:N20"/>
    <mergeCell ref="Q20:R20"/>
    <mergeCell ref="M22:N22"/>
    <mergeCell ref="Q22:R22"/>
    <mergeCell ref="Q21:R21"/>
    <mergeCell ref="D17:E17"/>
    <mergeCell ref="F17:G17"/>
    <mergeCell ref="I17:J17"/>
    <mergeCell ref="K17:L17"/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Q17:R17"/>
    <mergeCell ref="Q16:R16"/>
    <mergeCell ref="K15:L15"/>
    <mergeCell ref="Q14:R14"/>
    <mergeCell ref="M15:N15"/>
    <mergeCell ref="Q15:R15"/>
    <mergeCell ref="M16:N16"/>
    <mergeCell ref="M17:N17"/>
    <mergeCell ref="M21:N21"/>
    <mergeCell ref="K11:L11"/>
    <mergeCell ref="Q10:R10"/>
    <mergeCell ref="D14:E14"/>
    <mergeCell ref="F14:G14"/>
    <mergeCell ref="Q12:R12"/>
    <mergeCell ref="D11:E11"/>
    <mergeCell ref="F11:G11"/>
    <mergeCell ref="I11:J11"/>
    <mergeCell ref="D16:E16"/>
    <mergeCell ref="M12:N12"/>
    <mergeCell ref="F16:G16"/>
    <mergeCell ref="I16:J16"/>
    <mergeCell ref="K16:L16"/>
    <mergeCell ref="D15:E15"/>
    <mergeCell ref="F15:G15"/>
    <mergeCell ref="I15:J15"/>
    <mergeCell ref="D12:E12"/>
    <mergeCell ref="F12:G12"/>
    <mergeCell ref="I12:J12"/>
    <mergeCell ref="K12:L12"/>
    <mergeCell ref="M11:N11"/>
    <mergeCell ref="Q11:R11"/>
    <mergeCell ref="Q9:R9"/>
    <mergeCell ref="M10:N10"/>
    <mergeCell ref="I7:J7"/>
    <mergeCell ref="K7:L7"/>
    <mergeCell ref="M7:N7"/>
    <mergeCell ref="D9:E9"/>
    <mergeCell ref="F9:G9"/>
    <mergeCell ref="D10:E10"/>
    <mergeCell ref="F10:G10"/>
    <mergeCell ref="Q7:R7"/>
    <mergeCell ref="I10:J10"/>
    <mergeCell ref="K10:L10"/>
    <mergeCell ref="Q4:R4"/>
    <mergeCell ref="Q5:R5"/>
    <mergeCell ref="Q6:R6"/>
    <mergeCell ref="D7:E7"/>
    <mergeCell ref="F4:G4"/>
    <mergeCell ref="F5:G5"/>
    <mergeCell ref="F6:G6"/>
    <mergeCell ref="F7:G7"/>
    <mergeCell ref="D4:E4"/>
    <mergeCell ref="D5:E5"/>
    <mergeCell ref="D6:E6"/>
    <mergeCell ref="I5:J5"/>
    <mergeCell ref="K5:L5"/>
    <mergeCell ref="M5:N5"/>
    <mergeCell ref="I6:J6"/>
    <mergeCell ref="K6:L6"/>
    <mergeCell ref="M6:N6"/>
  </mergeCells>
  <phoneticPr fontId="49"/>
  <printOptions horizontalCentered="1" verticalCentered="1"/>
  <pageMargins left="0.39305555555555555" right="0.39305555555555555" top="0.98402777777777772" bottom="0.39305555555555555" header="0.51111111111111107" footer="0.51111111111111107"/>
  <pageSetup paperSize="9" firstPageNumber="4294963191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BG42"/>
  <sheetViews>
    <sheetView tabSelected="1" workbookViewId="0">
      <selection activeCell="AU12" sqref="AU12"/>
    </sheetView>
  </sheetViews>
  <sheetFormatPr defaultColWidth="3.6640625" defaultRowHeight="13.2"/>
  <cols>
    <col min="1" max="1" width="2.109375" style="38" customWidth="1"/>
    <col min="2" max="4" width="3.6640625" style="38" customWidth="1"/>
    <col min="5" max="22" width="2.33203125" style="38" customWidth="1"/>
    <col min="23" max="30" width="3.6640625" style="38" customWidth="1"/>
    <col min="31" max="34" width="5.88671875" style="38" customWidth="1"/>
    <col min="35" max="35" width="7.33203125" style="74" hidden="1" customWidth="1"/>
    <col min="36" max="36" width="5.6640625" style="74" hidden="1" customWidth="1"/>
    <col min="37" max="37" width="3.6640625" style="38" bestFit="1"/>
    <col min="38" max="16384" width="3.6640625" style="38"/>
  </cols>
  <sheetData>
    <row r="1" spans="2:59" ht="13.5" customHeight="1">
      <c r="B1" s="550" t="str">
        <f>【結果】個人成績表!A1</f>
        <v>第8回　神奈滋対抗戦　　　(奈良；キングスポット)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</row>
    <row r="2" spans="2:59" ht="13.5" customHeight="1"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  <c r="AL2" s="550"/>
      <c r="AM2" s="550"/>
      <c r="AN2" s="550"/>
    </row>
    <row r="3" spans="2:59" ht="13.5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73"/>
      <c r="AJ3" s="73"/>
      <c r="AK3" s="37"/>
      <c r="AL3" s="37"/>
      <c r="AM3" s="37"/>
      <c r="AN3" s="37"/>
    </row>
    <row r="4" spans="2:59" ht="13.5" customHeight="1">
      <c r="AK4" s="551">
        <f>【準備】登録!D4</f>
        <v>44493</v>
      </c>
      <c r="AL4" s="551"/>
      <c r="AM4" s="551"/>
      <c r="AN4" s="551"/>
      <c r="BG4" s="243"/>
    </row>
    <row r="5" spans="2:59" ht="13.5" customHeight="1" thickBot="1">
      <c r="AK5" s="48"/>
      <c r="AL5" s="48"/>
      <c r="AM5" s="48"/>
      <c r="AN5" s="48"/>
      <c r="BG5" s="243"/>
    </row>
    <row r="6" spans="2:59" ht="13.5" customHeight="1">
      <c r="B6" s="461" t="s">
        <v>66</v>
      </c>
      <c r="C6" s="462"/>
      <c r="D6" s="462"/>
      <c r="E6" s="462"/>
      <c r="F6" s="558" t="s">
        <v>371</v>
      </c>
      <c r="G6" s="559"/>
      <c r="H6" s="559"/>
      <c r="I6" s="559"/>
      <c r="J6" s="559"/>
      <c r="K6" s="559"/>
      <c r="L6" s="559"/>
      <c r="M6" s="559"/>
      <c r="N6" s="562" t="s">
        <v>372</v>
      </c>
      <c r="O6" s="562"/>
      <c r="P6" s="562"/>
      <c r="Q6" s="562"/>
      <c r="R6" s="562"/>
      <c r="S6" s="562"/>
      <c r="T6" s="562"/>
      <c r="U6" s="562"/>
      <c r="V6" s="562"/>
      <c r="W6" s="562"/>
      <c r="X6" s="564"/>
      <c r="Y6" s="552" t="s">
        <v>67</v>
      </c>
      <c r="Z6" s="553"/>
      <c r="AA6" s="553"/>
      <c r="AB6" s="553"/>
      <c r="AC6" s="566" t="s">
        <v>373</v>
      </c>
      <c r="AD6" s="567"/>
      <c r="AE6" s="567"/>
      <c r="AF6" s="567"/>
      <c r="AG6" s="562" t="s">
        <v>374</v>
      </c>
      <c r="AH6" s="562"/>
      <c r="AI6" s="562"/>
      <c r="AJ6" s="562"/>
      <c r="AK6" s="562"/>
      <c r="AL6" s="562"/>
      <c r="AM6" s="562"/>
      <c r="AN6" s="570"/>
      <c r="BG6" s="243"/>
    </row>
    <row r="7" spans="2:59" ht="14.25" customHeight="1" thickBot="1">
      <c r="B7" s="458"/>
      <c r="C7" s="459"/>
      <c r="D7" s="459"/>
      <c r="E7" s="459"/>
      <c r="F7" s="560"/>
      <c r="G7" s="561"/>
      <c r="H7" s="561"/>
      <c r="I7" s="561"/>
      <c r="J7" s="561"/>
      <c r="K7" s="561"/>
      <c r="L7" s="561"/>
      <c r="M7" s="561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5"/>
      <c r="Y7" s="554"/>
      <c r="Z7" s="555"/>
      <c r="AA7" s="555"/>
      <c r="AB7" s="555"/>
      <c r="AC7" s="568"/>
      <c r="AD7" s="569"/>
      <c r="AE7" s="569"/>
      <c r="AF7" s="569"/>
      <c r="AG7" s="563"/>
      <c r="AH7" s="563"/>
      <c r="AI7" s="563"/>
      <c r="AJ7" s="563"/>
      <c r="AK7" s="563"/>
      <c r="AL7" s="563"/>
      <c r="AM7" s="563"/>
      <c r="AN7" s="571"/>
      <c r="BG7" s="243"/>
    </row>
    <row r="8" spans="2:59" ht="14.25" customHeight="1">
      <c r="B8" s="461" t="s">
        <v>30</v>
      </c>
      <c r="C8" s="462"/>
      <c r="D8" s="462"/>
      <c r="E8" s="462"/>
      <c r="F8" s="558" t="s">
        <v>371</v>
      </c>
      <c r="G8" s="559"/>
      <c r="H8" s="559"/>
      <c r="I8" s="559"/>
      <c r="J8" s="559"/>
      <c r="K8" s="559"/>
      <c r="L8" s="559"/>
      <c r="M8" s="559"/>
      <c r="N8" s="562" t="s">
        <v>370</v>
      </c>
      <c r="O8" s="562"/>
      <c r="P8" s="562"/>
      <c r="Q8" s="562"/>
      <c r="R8" s="562"/>
      <c r="S8" s="562"/>
      <c r="T8" s="562"/>
      <c r="U8" s="562"/>
      <c r="V8" s="562"/>
      <c r="W8" s="562"/>
      <c r="X8" s="564"/>
      <c r="Y8" s="552" t="s">
        <v>67</v>
      </c>
      <c r="Z8" s="553"/>
      <c r="AA8" s="553"/>
      <c r="AB8" s="556"/>
      <c r="AC8" s="566" t="s">
        <v>376</v>
      </c>
      <c r="AD8" s="567"/>
      <c r="AE8" s="567"/>
      <c r="AF8" s="567"/>
      <c r="AG8" s="562" t="s">
        <v>375</v>
      </c>
      <c r="AH8" s="562"/>
      <c r="AI8" s="562"/>
      <c r="AJ8" s="562"/>
      <c r="AK8" s="562"/>
      <c r="AL8" s="562"/>
      <c r="AM8" s="562"/>
      <c r="AN8" s="570"/>
      <c r="BG8" s="243"/>
    </row>
    <row r="9" spans="2:59" ht="14.25" customHeight="1" thickBot="1">
      <c r="B9" s="458"/>
      <c r="C9" s="459"/>
      <c r="D9" s="459"/>
      <c r="E9" s="459"/>
      <c r="F9" s="560"/>
      <c r="G9" s="561"/>
      <c r="H9" s="561"/>
      <c r="I9" s="561"/>
      <c r="J9" s="561"/>
      <c r="K9" s="561"/>
      <c r="L9" s="561"/>
      <c r="M9" s="561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5"/>
      <c r="Y9" s="554"/>
      <c r="Z9" s="555"/>
      <c r="AA9" s="555"/>
      <c r="AB9" s="557"/>
      <c r="AC9" s="568"/>
      <c r="AD9" s="569"/>
      <c r="AE9" s="569"/>
      <c r="AF9" s="569"/>
      <c r="AG9" s="563"/>
      <c r="AH9" s="563"/>
      <c r="AI9" s="563"/>
      <c r="AJ9" s="563"/>
      <c r="AK9" s="563"/>
      <c r="AL9" s="563"/>
      <c r="AM9" s="563"/>
      <c r="AN9" s="571"/>
      <c r="BG9" s="243"/>
    </row>
    <row r="10" spans="2:59">
      <c r="Y10" s="273"/>
      <c r="BG10" s="243"/>
    </row>
    <row r="11" spans="2:59">
      <c r="BG11" s="243"/>
    </row>
    <row r="12" spans="2:59" ht="14.25" customHeight="1">
      <c r="B12" s="43"/>
      <c r="C12" s="39"/>
      <c r="D12" s="40"/>
      <c r="E12" s="461" t="str">
        <f>B16</f>
        <v>HRC</v>
      </c>
      <c r="F12" s="462"/>
      <c r="G12" s="462"/>
      <c r="H12" s="462"/>
      <c r="I12" s="462"/>
      <c r="J12" s="463"/>
      <c r="K12" s="461" t="str">
        <f>B22</f>
        <v>SBC</v>
      </c>
      <c r="L12" s="462"/>
      <c r="M12" s="462"/>
      <c r="N12" s="462"/>
      <c r="O12" s="462"/>
      <c r="P12" s="463"/>
      <c r="Q12" s="461" t="str">
        <f>B28</f>
        <v>NRC</v>
      </c>
      <c r="R12" s="462"/>
      <c r="S12" s="462"/>
      <c r="T12" s="462"/>
      <c r="U12" s="462"/>
      <c r="V12" s="463"/>
      <c r="W12" s="500" t="s">
        <v>21</v>
      </c>
      <c r="X12" s="501"/>
      <c r="Y12" s="501"/>
      <c r="Z12" s="502"/>
      <c r="AA12" s="523" t="s">
        <v>47</v>
      </c>
      <c r="AB12" s="501"/>
      <c r="AC12" s="501"/>
      <c r="AD12" s="502"/>
      <c r="AE12" s="523" t="s">
        <v>48</v>
      </c>
      <c r="AF12" s="501"/>
      <c r="AG12" s="501"/>
      <c r="AH12" s="502"/>
      <c r="AI12" s="75"/>
      <c r="AJ12" s="75"/>
      <c r="AK12" s="523" t="s">
        <v>68</v>
      </c>
      <c r="AL12" s="501"/>
      <c r="AM12" s="501"/>
      <c r="AN12" s="526"/>
      <c r="BG12" s="243"/>
    </row>
    <row r="13" spans="2:59" ht="14.25" customHeight="1">
      <c r="B13" s="44"/>
      <c r="C13" s="41"/>
      <c r="D13" s="42"/>
      <c r="E13" s="493"/>
      <c r="F13" s="494"/>
      <c r="G13" s="494"/>
      <c r="H13" s="494"/>
      <c r="I13" s="494"/>
      <c r="J13" s="495"/>
      <c r="K13" s="493"/>
      <c r="L13" s="494"/>
      <c r="M13" s="494"/>
      <c r="N13" s="494"/>
      <c r="O13" s="494"/>
      <c r="P13" s="495"/>
      <c r="Q13" s="493"/>
      <c r="R13" s="494"/>
      <c r="S13" s="494"/>
      <c r="T13" s="494"/>
      <c r="U13" s="494"/>
      <c r="V13" s="495"/>
      <c r="W13" s="503"/>
      <c r="X13" s="504"/>
      <c r="Y13" s="504"/>
      <c r="Z13" s="505"/>
      <c r="AA13" s="524"/>
      <c r="AB13" s="504"/>
      <c r="AC13" s="504"/>
      <c r="AD13" s="505"/>
      <c r="AE13" s="524"/>
      <c r="AF13" s="504"/>
      <c r="AG13" s="504"/>
      <c r="AH13" s="505"/>
      <c r="AI13" s="81" t="s">
        <v>69</v>
      </c>
      <c r="AJ13" s="82" t="s">
        <v>48</v>
      </c>
      <c r="AK13" s="524"/>
      <c r="AL13" s="504"/>
      <c r="AM13" s="504"/>
      <c r="AN13" s="527"/>
      <c r="BG13" s="243"/>
    </row>
    <row r="14" spans="2:59" ht="14.25" customHeight="1">
      <c r="B14" s="44"/>
      <c r="C14" s="41"/>
      <c r="D14" s="42"/>
      <c r="E14" s="513" t="s">
        <v>21</v>
      </c>
      <c r="F14" s="514"/>
      <c r="G14" s="515"/>
      <c r="H14" s="519" t="s">
        <v>47</v>
      </c>
      <c r="I14" s="514"/>
      <c r="J14" s="520"/>
      <c r="K14" s="513" t="s">
        <v>21</v>
      </c>
      <c r="L14" s="514"/>
      <c r="M14" s="515"/>
      <c r="N14" s="519" t="s">
        <v>47</v>
      </c>
      <c r="O14" s="514"/>
      <c r="P14" s="520"/>
      <c r="Q14" s="513" t="s">
        <v>21</v>
      </c>
      <c r="R14" s="514"/>
      <c r="S14" s="515"/>
      <c r="T14" s="519" t="s">
        <v>47</v>
      </c>
      <c r="U14" s="514"/>
      <c r="V14" s="520"/>
      <c r="W14" s="503"/>
      <c r="X14" s="504"/>
      <c r="Y14" s="504"/>
      <c r="Z14" s="505"/>
      <c r="AA14" s="524"/>
      <c r="AB14" s="504"/>
      <c r="AC14" s="504"/>
      <c r="AD14" s="505"/>
      <c r="AE14" s="524"/>
      <c r="AF14" s="504"/>
      <c r="AG14" s="504"/>
      <c r="AH14" s="505"/>
      <c r="AK14" s="524"/>
      <c r="AL14" s="504"/>
      <c r="AM14" s="504"/>
      <c r="AN14" s="527"/>
      <c r="BG14" s="243"/>
    </row>
    <row r="15" spans="2:59" ht="14.25" customHeight="1">
      <c r="B15" s="45"/>
      <c r="C15" s="46"/>
      <c r="D15" s="47"/>
      <c r="E15" s="516"/>
      <c r="F15" s="517"/>
      <c r="G15" s="518"/>
      <c r="H15" s="521"/>
      <c r="I15" s="517"/>
      <c r="J15" s="522"/>
      <c r="K15" s="516"/>
      <c r="L15" s="517"/>
      <c r="M15" s="518"/>
      <c r="N15" s="521"/>
      <c r="O15" s="517"/>
      <c r="P15" s="522"/>
      <c r="Q15" s="516"/>
      <c r="R15" s="517"/>
      <c r="S15" s="518"/>
      <c r="T15" s="521"/>
      <c r="U15" s="517"/>
      <c r="V15" s="522"/>
      <c r="W15" s="506"/>
      <c r="X15" s="507"/>
      <c r="Y15" s="507"/>
      <c r="Z15" s="508"/>
      <c r="AA15" s="525"/>
      <c r="AB15" s="507"/>
      <c r="AC15" s="507"/>
      <c r="AD15" s="508"/>
      <c r="AE15" s="525"/>
      <c r="AF15" s="507"/>
      <c r="AG15" s="507"/>
      <c r="AH15" s="508"/>
      <c r="AI15" s="83"/>
      <c r="AJ15" s="84"/>
      <c r="AK15" s="525"/>
      <c r="AL15" s="507"/>
      <c r="AM15" s="507"/>
      <c r="AN15" s="528"/>
      <c r="BG15" s="243"/>
    </row>
    <row r="16" spans="2:59" ht="15" customHeight="1">
      <c r="B16" s="452" t="str">
        <f>IF(【準備】登録!B11="","",【準備】登録!B11)</f>
        <v>HRC</v>
      </c>
      <c r="C16" s="453"/>
      <c r="D16" s="454"/>
      <c r="E16" s="470"/>
      <c r="F16" s="471"/>
      <c r="G16" s="471"/>
      <c r="H16" s="471"/>
      <c r="I16" s="471"/>
      <c r="J16" s="472"/>
      <c r="K16" s="464">
        <f>IF(【結果】個人成績表!R14="","",【結果】個人成績表!R14-Q16)</f>
        <v>3</v>
      </c>
      <c r="L16" s="465"/>
      <c r="M16" s="466"/>
      <c r="N16" s="490">
        <f>IF(【結果】個人成績表!S14="","",【結果】個人成績表!S14-T16)</f>
        <v>3</v>
      </c>
      <c r="O16" s="491"/>
      <c r="P16" s="492"/>
      <c r="Q16" s="464">
        <f>【結果】個人成績表!H14</f>
        <v>3</v>
      </c>
      <c r="R16" s="465"/>
      <c r="S16" s="466"/>
      <c r="T16" s="479">
        <f>【結果】個人成績表!I14</f>
        <v>3</v>
      </c>
      <c r="U16" s="465"/>
      <c r="V16" s="480"/>
      <c r="W16" s="511">
        <f>IF(Q16="","",SUM(Q16:S21,K16:M21))</f>
        <v>19</v>
      </c>
      <c r="X16" s="511"/>
      <c r="Y16" s="511"/>
      <c r="Z16" s="512"/>
      <c r="AA16" s="529">
        <f>IF(T16="","",SUM(T16:V21,N16:P21))</f>
        <v>17</v>
      </c>
      <c r="AB16" s="511"/>
      <c r="AC16" s="511"/>
      <c r="AD16" s="512"/>
      <c r="AE16" s="490" t="str">
        <f>IF(【結果】個人成績表!BH14="","","("&amp;【結果】個人成績表!BH14&amp;")")</f>
        <v>(5091)</v>
      </c>
      <c r="AF16" s="538"/>
      <c r="AG16" s="538"/>
      <c r="AH16" s="539"/>
      <c r="AI16" s="76">
        <f>【結果】個人成績表!BH14</f>
        <v>5091</v>
      </c>
      <c r="AJ16" s="76">
        <f>【結果】個人成績表!CE14</f>
        <v>5289.8571428571431</v>
      </c>
      <c r="AK16" s="529">
        <f>IF(AE18="","",RANK(W$16:W$33,W$16:W$33,0))</f>
        <v>2</v>
      </c>
      <c r="AL16" s="511"/>
      <c r="AM16" s="511"/>
      <c r="AN16" s="532"/>
      <c r="BG16" s="243"/>
    </row>
    <row r="17" spans="2:59" ht="15" customHeight="1">
      <c r="B17" s="455"/>
      <c r="C17" s="456"/>
      <c r="D17" s="457"/>
      <c r="E17" s="473"/>
      <c r="F17" s="474"/>
      <c r="G17" s="474"/>
      <c r="H17" s="474"/>
      <c r="I17" s="474"/>
      <c r="J17" s="475"/>
      <c r="K17" s="467"/>
      <c r="L17" s="468"/>
      <c r="M17" s="469"/>
      <c r="N17" s="481"/>
      <c r="O17" s="468"/>
      <c r="P17" s="482"/>
      <c r="Q17" s="467"/>
      <c r="R17" s="468"/>
      <c r="S17" s="469"/>
      <c r="T17" s="481"/>
      <c r="U17" s="468"/>
      <c r="V17" s="482"/>
      <c r="W17" s="496"/>
      <c r="X17" s="496"/>
      <c r="Y17" s="496"/>
      <c r="Z17" s="497"/>
      <c r="AA17" s="530"/>
      <c r="AB17" s="496"/>
      <c r="AC17" s="496"/>
      <c r="AD17" s="497"/>
      <c r="AE17" s="537"/>
      <c r="AF17" s="535"/>
      <c r="AG17" s="535"/>
      <c r="AH17" s="536"/>
      <c r="AI17" s="77"/>
      <c r="AJ17" s="77"/>
      <c r="AK17" s="530"/>
      <c r="AL17" s="496"/>
      <c r="AM17" s="496"/>
      <c r="AN17" s="533"/>
      <c r="BG17" s="243"/>
    </row>
    <row r="18" spans="2:59" ht="15" customHeight="1">
      <c r="B18" s="455"/>
      <c r="C18" s="456"/>
      <c r="D18" s="457"/>
      <c r="E18" s="473"/>
      <c r="F18" s="474"/>
      <c r="G18" s="474"/>
      <c r="H18" s="474"/>
      <c r="I18" s="474"/>
      <c r="J18" s="475"/>
      <c r="K18" s="483">
        <f>IF(【結果】個人成績表!AB14="","",【結果】個人成績表!AB14-【結果】個人成績表!R14)</f>
        <v>2</v>
      </c>
      <c r="L18" s="447"/>
      <c r="M18" s="484"/>
      <c r="N18" s="446">
        <f>IF(【結果】個人成績表!AC14="","",【結果】個人成績表!AC14-【結果】個人成績表!S14)</f>
        <v>4</v>
      </c>
      <c r="O18" s="447"/>
      <c r="P18" s="448"/>
      <c r="Q18" s="483">
        <f>IF(【結果】個人成績表!AL14="","",【結果】個人成績表!AL14-【結果】個人成績表!AB14)</f>
        <v>4</v>
      </c>
      <c r="R18" s="447"/>
      <c r="S18" s="484"/>
      <c r="T18" s="446">
        <f>IF(【結果】個人成績表!AC14="","",【結果】個人成績表!AM14-【結果】個人成績表!AC14)</f>
        <v>2</v>
      </c>
      <c r="U18" s="447"/>
      <c r="V18" s="448"/>
      <c r="W18" s="496"/>
      <c r="X18" s="496"/>
      <c r="Y18" s="496"/>
      <c r="Z18" s="497"/>
      <c r="AA18" s="530"/>
      <c r="AB18" s="496"/>
      <c r="AC18" s="496"/>
      <c r="AD18" s="497"/>
      <c r="AE18" s="534">
        <f>IF(【結果】個人成績表!CE14=0,"",【結果】個人成績表!CE14)</f>
        <v>5289.8571428571431</v>
      </c>
      <c r="AF18" s="535"/>
      <c r="AG18" s="535"/>
      <c r="AH18" s="536"/>
      <c r="AI18" s="77"/>
      <c r="AJ18" s="77"/>
      <c r="AK18" s="530"/>
      <c r="AL18" s="496"/>
      <c r="AM18" s="496"/>
      <c r="AN18" s="533"/>
      <c r="BG18" s="243"/>
    </row>
    <row r="19" spans="2:59" ht="15" customHeight="1">
      <c r="B19" s="455"/>
      <c r="C19" s="456"/>
      <c r="D19" s="457"/>
      <c r="E19" s="473"/>
      <c r="F19" s="474"/>
      <c r="G19" s="474"/>
      <c r="H19" s="474"/>
      <c r="I19" s="474"/>
      <c r="J19" s="475"/>
      <c r="K19" s="467"/>
      <c r="L19" s="468"/>
      <c r="M19" s="469"/>
      <c r="N19" s="481"/>
      <c r="O19" s="468"/>
      <c r="P19" s="482"/>
      <c r="Q19" s="467"/>
      <c r="R19" s="468"/>
      <c r="S19" s="469"/>
      <c r="T19" s="481"/>
      <c r="U19" s="468"/>
      <c r="V19" s="482"/>
      <c r="W19" s="496"/>
      <c r="X19" s="496"/>
      <c r="Y19" s="496"/>
      <c r="Z19" s="497"/>
      <c r="AA19" s="530"/>
      <c r="AB19" s="496"/>
      <c r="AC19" s="496"/>
      <c r="AD19" s="497"/>
      <c r="AE19" s="537"/>
      <c r="AF19" s="535"/>
      <c r="AG19" s="535"/>
      <c r="AH19" s="536"/>
      <c r="AI19" s="77"/>
      <c r="AJ19" s="77"/>
      <c r="AK19" s="530"/>
      <c r="AL19" s="496"/>
      <c r="AM19" s="496"/>
      <c r="AN19" s="533"/>
      <c r="BG19" s="243"/>
    </row>
    <row r="20" spans="2:59" ht="15" customHeight="1">
      <c r="B20" s="455"/>
      <c r="C20" s="456"/>
      <c r="D20" s="457"/>
      <c r="E20" s="473"/>
      <c r="F20" s="474"/>
      <c r="G20" s="474"/>
      <c r="H20" s="474"/>
      <c r="I20" s="474"/>
      <c r="J20" s="475"/>
      <c r="K20" s="483">
        <f>IF(【結果】個人成績表!AV14="","",【結果】個人成績表!AV14-【結果】個人成績表!AL14)</f>
        <v>2</v>
      </c>
      <c r="L20" s="447"/>
      <c r="M20" s="484"/>
      <c r="N20" s="446">
        <f>IF(【結果】個人成績表!AW14="","",【結果】個人成績表!AW14-【結果】個人成績表!AM14)</f>
        <v>4</v>
      </c>
      <c r="O20" s="447"/>
      <c r="P20" s="448"/>
      <c r="Q20" s="483">
        <f>IF(【結果】個人成績表!BF14="","",【結果】個人成績表!BF14-【結果】個人成績表!AV14)</f>
        <v>5</v>
      </c>
      <c r="R20" s="447"/>
      <c r="S20" s="484"/>
      <c r="T20" s="446">
        <f>IF(【結果】個人成績表!BG14="","",【結果】個人成績表!BG14-【結果】個人成績表!AW14)</f>
        <v>1</v>
      </c>
      <c r="U20" s="447"/>
      <c r="V20" s="448"/>
      <c r="W20" s="496"/>
      <c r="X20" s="496"/>
      <c r="Y20" s="496"/>
      <c r="Z20" s="497"/>
      <c r="AA20" s="530"/>
      <c r="AB20" s="496"/>
      <c r="AC20" s="496"/>
      <c r="AD20" s="497"/>
      <c r="AE20" s="537"/>
      <c r="AF20" s="535"/>
      <c r="AG20" s="535"/>
      <c r="AH20" s="536"/>
      <c r="AI20" s="77"/>
      <c r="AJ20" s="77"/>
      <c r="AK20" s="530"/>
      <c r="AL20" s="496"/>
      <c r="AM20" s="496"/>
      <c r="AN20" s="533"/>
      <c r="BG20" s="243"/>
    </row>
    <row r="21" spans="2:59" ht="15" customHeight="1">
      <c r="B21" s="458"/>
      <c r="C21" s="459"/>
      <c r="D21" s="460"/>
      <c r="E21" s="476"/>
      <c r="F21" s="477"/>
      <c r="G21" s="477"/>
      <c r="H21" s="477"/>
      <c r="I21" s="477"/>
      <c r="J21" s="478"/>
      <c r="K21" s="485"/>
      <c r="L21" s="450"/>
      <c r="M21" s="486"/>
      <c r="N21" s="449"/>
      <c r="O21" s="450"/>
      <c r="P21" s="451"/>
      <c r="Q21" s="485"/>
      <c r="R21" s="450"/>
      <c r="S21" s="486"/>
      <c r="T21" s="449"/>
      <c r="U21" s="450"/>
      <c r="V21" s="451"/>
      <c r="W21" s="498"/>
      <c r="X21" s="498"/>
      <c r="Y21" s="498"/>
      <c r="Z21" s="499"/>
      <c r="AA21" s="531"/>
      <c r="AB21" s="498"/>
      <c r="AC21" s="498"/>
      <c r="AD21" s="499"/>
      <c r="AE21" s="537"/>
      <c r="AF21" s="535"/>
      <c r="AG21" s="535"/>
      <c r="AH21" s="536"/>
      <c r="AI21" s="77"/>
      <c r="AJ21" s="77"/>
      <c r="AK21" s="530"/>
      <c r="AL21" s="496"/>
      <c r="AM21" s="496"/>
      <c r="AN21" s="533"/>
      <c r="BG21" s="243"/>
    </row>
    <row r="22" spans="2:59" ht="15" customHeight="1">
      <c r="B22" s="461" t="str">
        <f>IF(【準備】登録!B12="","",【準備】登録!B12)</f>
        <v>SBC</v>
      </c>
      <c r="C22" s="462"/>
      <c r="D22" s="463"/>
      <c r="E22" s="464">
        <f>N16</f>
        <v>3</v>
      </c>
      <c r="F22" s="465"/>
      <c r="G22" s="466"/>
      <c r="H22" s="479">
        <f>K16</f>
        <v>3</v>
      </c>
      <c r="I22" s="465"/>
      <c r="J22" s="480"/>
      <c r="K22" s="487"/>
      <c r="L22" s="488"/>
      <c r="M22" s="488"/>
      <c r="N22" s="488"/>
      <c r="O22" s="488"/>
      <c r="P22" s="489"/>
      <c r="Q22" s="464">
        <f>IF(【結果】個人成績表!R24="","",【結果】個人成績表!R24-【結果】個人成績表!H24)</f>
        <v>4</v>
      </c>
      <c r="R22" s="465"/>
      <c r="S22" s="466"/>
      <c r="T22" s="479">
        <f>IF(【結果】個人成績表!S24="","",【結果】個人成績表!S24-【結果】個人成績表!I24)</f>
        <v>2</v>
      </c>
      <c r="U22" s="465"/>
      <c r="V22" s="480"/>
      <c r="W22" s="509">
        <f>IF(E22="","",SUM(E22:G27,Q22:S27))</f>
        <v>22</v>
      </c>
      <c r="X22" s="509"/>
      <c r="Y22" s="509"/>
      <c r="Z22" s="510"/>
      <c r="AA22" s="540">
        <f>IF(H22="","",SUM(H22:J27,T22:V27))</f>
        <v>14</v>
      </c>
      <c r="AB22" s="509"/>
      <c r="AC22" s="509"/>
      <c r="AD22" s="510"/>
      <c r="AE22" s="479" t="str">
        <f>IF(【結果】個人成績表!BH24="","","("&amp;【結果】個人成績表!BH24&amp;")")</f>
        <v>(5049)</v>
      </c>
      <c r="AF22" s="543"/>
      <c r="AG22" s="543"/>
      <c r="AH22" s="544"/>
      <c r="AI22" s="78">
        <f>【結果】個人成績表!BH24</f>
        <v>5049</v>
      </c>
      <c r="AJ22" s="78">
        <f>【結果】個人成績表!CE24</f>
        <v>5245</v>
      </c>
      <c r="AK22" s="540">
        <f>IF(AE24="","",RANK(W$16:W$33,W$16:W$33,0))</f>
        <v>1</v>
      </c>
      <c r="AL22" s="509"/>
      <c r="AM22" s="509"/>
      <c r="AN22" s="541"/>
      <c r="BG22" s="243"/>
    </row>
    <row r="23" spans="2:59" ht="15" customHeight="1">
      <c r="B23" s="455"/>
      <c r="C23" s="456"/>
      <c r="D23" s="457"/>
      <c r="E23" s="467"/>
      <c r="F23" s="468"/>
      <c r="G23" s="469"/>
      <c r="H23" s="481"/>
      <c r="I23" s="468"/>
      <c r="J23" s="482"/>
      <c r="K23" s="473"/>
      <c r="L23" s="474"/>
      <c r="M23" s="474"/>
      <c r="N23" s="474"/>
      <c r="O23" s="474"/>
      <c r="P23" s="475"/>
      <c r="Q23" s="467"/>
      <c r="R23" s="468"/>
      <c r="S23" s="469"/>
      <c r="T23" s="481"/>
      <c r="U23" s="468"/>
      <c r="V23" s="482"/>
      <c r="W23" s="496"/>
      <c r="X23" s="496"/>
      <c r="Y23" s="496"/>
      <c r="Z23" s="497"/>
      <c r="AA23" s="530"/>
      <c r="AB23" s="496"/>
      <c r="AC23" s="496"/>
      <c r="AD23" s="497"/>
      <c r="AE23" s="537"/>
      <c r="AF23" s="535"/>
      <c r="AG23" s="535"/>
      <c r="AH23" s="536"/>
      <c r="AI23" s="77"/>
      <c r="AJ23" s="77"/>
      <c r="AK23" s="530"/>
      <c r="AL23" s="496"/>
      <c r="AM23" s="496"/>
      <c r="AN23" s="533"/>
      <c r="BG23" s="243"/>
    </row>
    <row r="24" spans="2:59" ht="15" customHeight="1">
      <c r="B24" s="455"/>
      <c r="C24" s="456"/>
      <c r="D24" s="457"/>
      <c r="E24" s="483">
        <f>N18</f>
        <v>4</v>
      </c>
      <c r="F24" s="447"/>
      <c r="G24" s="484"/>
      <c r="H24" s="446">
        <f>K18</f>
        <v>2</v>
      </c>
      <c r="I24" s="447"/>
      <c r="J24" s="448"/>
      <c r="K24" s="473"/>
      <c r="L24" s="474"/>
      <c r="M24" s="474"/>
      <c r="N24" s="474"/>
      <c r="O24" s="474"/>
      <c r="P24" s="475"/>
      <c r="Q24" s="483">
        <f>IF(【結果】個人成績表!AL24="","",【結果】個人成績表!AL24-【結果】個人成績表!AB24)</f>
        <v>4</v>
      </c>
      <c r="R24" s="447"/>
      <c r="S24" s="484"/>
      <c r="T24" s="446">
        <f>IF(【結果】個人成績表!AM24="","",【結果】個人成績表!AM24-【結果】個人成績表!AC24)</f>
        <v>2</v>
      </c>
      <c r="U24" s="447"/>
      <c r="V24" s="448"/>
      <c r="W24" s="496"/>
      <c r="X24" s="496"/>
      <c r="Y24" s="496"/>
      <c r="Z24" s="497"/>
      <c r="AA24" s="530"/>
      <c r="AB24" s="496"/>
      <c r="AC24" s="496"/>
      <c r="AD24" s="497"/>
      <c r="AE24" s="534">
        <f>IF(【結果】個人成績表!CE24=0,"",【結果】個人成績表!CE24)</f>
        <v>5245</v>
      </c>
      <c r="AF24" s="545"/>
      <c r="AG24" s="545"/>
      <c r="AH24" s="546"/>
      <c r="AI24" s="79"/>
      <c r="AJ24" s="79"/>
      <c r="AK24" s="530"/>
      <c r="AL24" s="496"/>
      <c r="AM24" s="496"/>
      <c r="AN24" s="533"/>
      <c r="BG24" s="243"/>
    </row>
    <row r="25" spans="2:59" ht="15" customHeight="1">
      <c r="B25" s="455"/>
      <c r="C25" s="456"/>
      <c r="D25" s="457"/>
      <c r="E25" s="467"/>
      <c r="F25" s="468"/>
      <c r="G25" s="469"/>
      <c r="H25" s="481"/>
      <c r="I25" s="468"/>
      <c r="J25" s="482"/>
      <c r="K25" s="473"/>
      <c r="L25" s="474"/>
      <c r="M25" s="474"/>
      <c r="N25" s="474"/>
      <c r="O25" s="474"/>
      <c r="P25" s="475"/>
      <c r="Q25" s="467"/>
      <c r="R25" s="468"/>
      <c r="S25" s="469"/>
      <c r="T25" s="481"/>
      <c r="U25" s="468"/>
      <c r="V25" s="482"/>
      <c r="W25" s="496"/>
      <c r="X25" s="496"/>
      <c r="Y25" s="496"/>
      <c r="Z25" s="497"/>
      <c r="AA25" s="530"/>
      <c r="AB25" s="496"/>
      <c r="AC25" s="496"/>
      <c r="AD25" s="497"/>
      <c r="AE25" s="534"/>
      <c r="AF25" s="545"/>
      <c r="AG25" s="545"/>
      <c r="AH25" s="546"/>
      <c r="AI25" s="79"/>
      <c r="AJ25" s="79"/>
      <c r="AK25" s="530"/>
      <c r="AL25" s="496"/>
      <c r="AM25" s="496"/>
      <c r="AN25" s="533"/>
      <c r="BG25" s="243"/>
    </row>
    <row r="26" spans="2:59" ht="15" customHeight="1">
      <c r="B26" s="455"/>
      <c r="C26" s="456"/>
      <c r="D26" s="457"/>
      <c r="E26" s="483">
        <f>N20</f>
        <v>4</v>
      </c>
      <c r="F26" s="447"/>
      <c r="G26" s="484"/>
      <c r="H26" s="446">
        <f>K20</f>
        <v>2</v>
      </c>
      <c r="I26" s="447"/>
      <c r="J26" s="448"/>
      <c r="K26" s="473"/>
      <c r="L26" s="474"/>
      <c r="M26" s="474"/>
      <c r="N26" s="474"/>
      <c r="O26" s="474"/>
      <c r="P26" s="475"/>
      <c r="Q26" s="483">
        <f>IF(【結果】個人成績表!BF24="","",【結果】個人成績表!BF24-【結果】個人成績表!AV24)</f>
        <v>3</v>
      </c>
      <c r="R26" s="447"/>
      <c r="S26" s="484"/>
      <c r="T26" s="446">
        <f>IF(【結果】個人成績表!BG24="","",【結果】個人成績表!BG24-【結果】個人成績表!AW24)</f>
        <v>3</v>
      </c>
      <c r="U26" s="447"/>
      <c r="V26" s="448"/>
      <c r="W26" s="496"/>
      <c r="X26" s="496"/>
      <c r="Y26" s="496"/>
      <c r="Z26" s="497"/>
      <c r="AA26" s="530"/>
      <c r="AB26" s="496"/>
      <c r="AC26" s="496"/>
      <c r="AD26" s="497"/>
      <c r="AE26" s="534"/>
      <c r="AF26" s="545"/>
      <c r="AG26" s="545"/>
      <c r="AH26" s="546"/>
      <c r="AI26" s="79"/>
      <c r="AJ26" s="79"/>
      <c r="AK26" s="530"/>
      <c r="AL26" s="496"/>
      <c r="AM26" s="496"/>
      <c r="AN26" s="533"/>
      <c r="BG26" s="243"/>
    </row>
    <row r="27" spans="2:59" ht="15" customHeight="1" thickBot="1">
      <c r="B27" s="458"/>
      <c r="C27" s="459"/>
      <c r="D27" s="460"/>
      <c r="E27" s="485"/>
      <c r="F27" s="450"/>
      <c r="G27" s="486"/>
      <c r="H27" s="449"/>
      <c r="I27" s="450"/>
      <c r="J27" s="451"/>
      <c r="K27" s="476"/>
      <c r="L27" s="477"/>
      <c r="M27" s="477"/>
      <c r="N27" s="477"/>
      <c r="O27" s="477"/>
      <c r="P27" s="478"/>
      <c r="Q27" s="485"/>
      <c r="R27" s="450"/>
      <c r="S27" s="486"/>
      <c r="T27" s="449"/>
      <c r="U27" s="450"/>
      <c r="V27" s="451"/>
      <c r="W27" s="498"/>
      <c r="X27" s="498"/>
      <c r="Y27" s="498"/>
      <c r="Z27" s="499"/>
      <c r="AA27" s="531"/>
      <c r="AB27" s="498"/>
      <c r="AC27" s="498"/>
      <c r="AD27" s="499"/>
      <c r="AE27" s="547"/>
      <c r="AF27" s="548"/>
      <c r="AG27" s="548"/>
      <c r="AH27" s="549"/>
      <c r="AI27" s="80"/>
      <c r="AJ27" s="80"/>
      <c r="AK27" s="531"/>
      <c r="AL27" s="498"/>
      <c r="AM27" s="498"/>
      <c r="AN27" s="542"/>
      <c r="BG27" s="243"/>
    </row>
    <row r="28" spans="2:59" ht="15" customHeight="1">
      <c r="B28" s="461" t="str">
        <f>IF(【準備】登録!B13="","",【準備】登録!B13)</f>
        <v>NRC</v>
      </c>
      <c r="C28" s="462"/>
      <c r="D28" s="463"/>
      <c r="E28" s="464">
        <f>【結果】個人成績表!H34</f>
        <v>3</v>
      </c>
      <c r="F28" s="465"/>
      <c r="G28" s="466"/>
      <c r="H28" s="479">
        <f>【結果】個人成績表!I34</f>
        <v>3</v>
      </c>
      <c r="I28" s="465"/>
      <c r="J28" s="480"/>
      <c r="K28" s="464">
        <f>T22</f>
        <v>2</v>
      </c>
      <c r="L28" s="465"/>
      <c r="M28" s="466"/>
      <c r="N28" s="479">
        <f>Q22</f>
        <v>4</v>
      </c>
      <c r="O28" s="465"/>
      <c r="P28" s="480"/>
      <c r="Q28" s="487"/>
      <c r="R28" s="488"/>
      <c r="S28" s="488"/>
      <c r="T28" s="488"/>
      <c r="U28" s="488"/>
      <c r="V28" s="489"/>
      <c r="W28" s="496">
        <f>IF(E28="","",SUM(E28:G33,K28:M33))</f>
        <v>13</v>
      </c>
      <c r="X28" s="496"/>
      <c r="Y28" s="496"/>
      <c r="Z28" s="497"/>
      <c r="AA28" s="530">
        <f>IF(H28="","",SUM(H28:J33,N28:P33))</f>
        <v>23</v>
      </c>
      <c r="AB28" s="496"/>
      <c r="AC28" s="496"/>
      <c r="AD28" s="497"/>
      <c r="AE28" s="479" t="str">
        <f>IF(【結果】個人成績表!BH34="","","("&amp;【結果】個人成績表!BH34&amp;")")</f>
        <v>(4281)</v>
      </c>
      <c r="AF28" s="543"/>
      <c r="AG28" s="543"/>
      <c r="AH28" s="544"/>
      <c r="AI28" s="77">
        <f>【結果】個人成績表!BH34</f>
        <v>4281</v>
      </c>
      <c r="AJ28" s="77">
        <f>【結果】個人成績表!CE34</f>
        <v>4404.4285714285716</v>
      </c>
      <c r="AK28" s="540">
        <f>IF(AE30="","",RANK(W$16:W$33,W$16:W$33,0))</f>
        <v>3</v>
      </c>
      <c r="AL28" s="509"/>
      <c r="AM28" s="509"/>
      <c r="AN28" s="541"/>
      <c r="BG28" s="243"/>
    </row>
    <row r="29" spans="2:59" ht="15" customHeight="1">
      <c r="B29" s="455"/>
      <c r="C29" s="456"/>
      <c r="D29" s="457"/>
      <c r="E29" s="467"/>
      <c r="F29" s="468"/>
      <c r="G29" s="469"/>
      <c r="H29" s="481"/>
      <c r="I29" s="468"/>
      <c r="J29" s="482"/>
      <c r="K29" s="467"/>
      <c r="L29" s="468"/>
      <c r="M29" s="469"/>
      <c r="N29" s="481"/>
      <c r="O29" s="468"/>
      <c r="P29" s="482"/>
      <c r="Q29" s="473"/>
      <c r="R29" s="474"/>
      <c r="S29" s="474"/>
      <c r="T29" s="474"/>
      <c r="U29" s="474"/>
      <c r="V29" s="475"/>
      <c r="W29" s="496"/>
      <c r="X29" s="496"/>
      <c r="Y29" s="496"/>
      <c r="Z29" s="497"/>
      <c r="AA29" s="530"/>
      <c r="AB29" s="496"/>
      <c r="AC29" s="496"/>
      <c r="AD29" s="497"/>
      <c r="AE29" s="537"/>
      <c r="AF29" s="535"/>
      <c r="AG29" s="535"/>
      <c r="AH29" s="536"/>
      <c r="AI29" s="77"/>
      <c r="AJ29" s="77"/>
      <c r="AK29" s="530"/>
      <c r="AL29" s="496"/>
      <c r="AM29" s="496"/>
      <c r="AN29" s="533"/>
      <c r="BG29" s="243"/>
    </row>
    <row r="30" spans="2:59" ht="15" customHeight="1">
      <c r="B30" s="455"/>
      <c r="C30" s="456"/>
      <c r="D30" s="457"/>
      <c r="E30" s="483">
        <f>T18</f>
        <v>2</v>
      </c>
      <c r="F30" s="447"/>
      <c r="G30" s="484"/>
      <c r="H30" s="446">
        <f>Q18</f>
        <v>4</v>
      </c>
      <c r="I30" s="447"/>
      <c r="J30" s="448"/>
      <c r="K30" s="483">
        <f>T24</f>
        <v>2</v>
      </c>
      <c r="L30" s="447"/>
      <c r="M30" s="484"/>
      <c r="N30" s="446">
        <f>Q24</f>
        <v>4</v>
      </c>
      <c r="O30" s="447"/>
      <c r="P30" s="448"/>
      <c r="Q30" s="473"/>
      <c r="R30" s="474"/>
      <c r="S30" s="474"/>
      <c r="T30" s="474"/>
      <c r="U30" s="474"/>
      <c r="V30" s="475"/>
      <c r="W30" s="496"/>
      <c r="X30" s="496"/>
      <c r="Y30" s="496"/>
      <c r="Z30" s="497"/>
      <c r="AA30" s="530"/>
      <c r="AB30" s="496"/>
      <c r="AC30" s="496"/>
      <c r="AD30" s="497"/>
      <c r="AE30" s="534">
        <f>IF(【結果】個人成績表!CE34=0,"",【結果】個人成績表!CE34)</f>
        <v>4404.4285714285716</v>
      </c>
      <c r="AF30" s="545"/>
      <c r="AG30" s="545"/>
      <c r="AH30" s="546"/>
      <c r="AI30" s="79"/>
      <c r="AJ30" s="79"/>
      <c r="AK30" s="530"/>
      <c r="AL30" s="496"/>
      <c r="AM30" s="496"/>
      <c r="AN30" s="533"/>
      <c r="BG30" s="243"/>
    </row>
    <row r="31" spans="2:59" ht="15" customHeight="1">
      <c r="B31" s="455"/>
      <c r="C31" s="456"/>
      <c r="D31" s="457"/>
      <c r="E31" s="467"/>
      <c r="F31" s="468"/>
      <c r="G31" s="469"/>
      <c r="H31" s="481"/>
      <c r="I31" s="468"/>
      <c r="J31" s="482"/>
      <c r="K31" s="467"/>
      <c r="L31" s="468"/>
      <c r="M31" s="469"/>
      <c r="N31" s="481"/>
      <c r="O31" s="468"/>
      <c r="P31" s="482"/>
      <c r="Q31" s="473"/>
      <c r="R31" s="474"/>
      <c r="S31" s="474"/>
      <c r="T31" s="474"/>
      <c r="U31" s="474"/>
      <c r="V31" s="475"/>
      <c r="W31" s="496"/>
      <c r="X31" s="496"/>
      <c r="Y31" s="496"/>
      <c r="Z31" s="497"/>
      <c r="AA31" s="530"/>
      <c r="AB31" s="496"/>
      <c r="AC31" s="496"/>
      <c r="AD31" s="497"/>
      <c r="AE31" s="534"/>
      <c r="AF31" s="545"/>
      <c r="AG31" s="545"/>
      <c r="AH31" s="546"/>
      <c r="AI31" s="79"/>
      <c r="AJ31" s="79"/>
      <c r="AK31" s="530"/>
      <c r="AL31" s="496"/>
      <c r="AM31" s="496"/>
      <c r="AN31" s="533"/>
      <c r="BG31" s="243"/>
    </row>
    <row r="32" spans="2:59" ht="15" customHeight="1">
      <c r="B32" s="455"/>
      <c r="C32" s="456"/>
      <c r="D32" s="457"/>
      <c r="E32" s="483">
        <f>T20</f>
        <v>1</v>
      </c>
      <c r="F32" s="447"/>
      <c r="G32" s="484"/>
      <c r="H32" s="446">
        <f>Q20</f>
        <v>5</v>
      </c>
      <c r="I32" s="447"/>
      <c r="J32" s="448"/>
      <c r="K32" s="483">
        <f>T26</f>
        <v>3</v>
      </c>
      <c r="L32" s="447"/>
      <c r="M32" s="484"/>
      <c r="N32" s="446">
        <f>Q26</f>
        <v>3</v>
      </c>
      <c r="O32" s="447"/>
      <c r="P32" s="448"/>
      <c r="Q32" s="473"/>
      <c r="R32" s="474"/>
      <c r="S32" s="474"/>
      <c r="T32" s="474"/>
      <c r="U32" s="474"/>
      <c r="V32" s="475"/>
      <c r="W32" s="496"/>
      <c r="X32" s="496"/>
      <c r="Y32" s="496"/>
      <c r="Z32" s="497"/>
      <c r="AA32" s="530"/>
      <c r="AB32" s="496"/>
      <c r="AC32" s="496"/>
      <c r="AD32" s="497"/>
      <c r="AE32" s="534"/>
      <c r="AF32" s="545"/>
      <c r="AG32" s="545"/>
      <c r="AH32" s="546"/>
      <c r="AI32" s="79"/>
      <c r="AJ32" s="79"/>
      <c r="AK32" s="530"/>
      <c r="AL32" s="496"/>
      <c r="AM32" s="496"/>
      <c r="AN32" s="533"/>
      <c r="BG32" s="243"/>
    </row>
    <row r="33" spans="2:59" ht="15" customHeight="1" thickBot="1">
      <c r="B33" s="458"/>
      <c r="C33" s="459"/>
      <c r="D33" s="460"/>
      <c r="E33" s="485"/>
      <c r="F33" s="450"/>
      <c r="G33" s="486"/>
      <c r="H33" s="449"/>
      <c r="I33" s="450"/>
      <c r="J33" s="451"/>
      <c r="K33" s="485"/>
      <c r="L33" s="450"/>
      <c r="M33" s="486"/>
      <c r="N33" s="449"/>
      <c r="O33" s="450"/>
      <c r="P33" s="451"/>
      <c r="Q33" s="476"/>
      <c r="R33" s="477"/>
      <c r="S33" s="477"/>
      <c r="T33" s="477"/>
      <c r="U33" s="477"/>
      <c r="V33" s="478"/>
      <c r="W33" s="498"/>
      <c r="X33" s="498"/>
      <c r="Y33" s="498"/>
      <c r="Z33" s="499"/>
      <c r="AA33" s="531"/>
      <c r="AB33" s="498"/>
      <c r="AC33" s="498"/>
      <c r="AD33" s="499"/>
      <c r="AE33" s="547"/>
      <c r="AF33" s="548"/>
      <c r="AG33" s="548"/>
      <c r="AH33" s="549"/>
      <c r="AI33" s="80"/>
      <c r="AJ33" s="80"/>
      <c r="AK33" s="531"/>
      <c r="AL33" s="498"/>
      <c r="AM33" s="498"/>
      <c r="AN33" s="542"/>
      <c r="BG33" s="243"/>
    </row>
    <row r="34" spans="2:59">
      <c r="D34" s="158" t="s">
        <v>62</v>
      </c>
      <c r="E34" s="38" t="s">
        <v>70</v>
      </c>
      <c r="BG34" s="243"/>
    </row>
    <row r="35" spans="2:59">
      <c r="BG35" s="243"/>
    </row>
    <row r="36" spans="2:59">
      <c r="BG36" s="243"/>
    </row>
    <row r="37" spans="2:59">
      <c r="BG37" s="243"/>
    </row>
    <row r="38" spans="2:59">
      <c r="BG38" s="243"/>
    </row>
    <row r="39" spans="2:59">
      <c r="BG39" s="243"/>
    </row>
    <row r="40" spans="2:59">
      <c r="BG40" s="243"/>
    </row>
    <row r="41" spans="2:59">
      <c r="BG41" s="243"/>
    </row>
    <row r="42" spans="2:59">
      <c r="BG42" s="243"/>
    </row>
  </sheetData>
  <mergeCells count="86">
    <mergeCell ref="B1:AN2"/>
    <mergeCell ref="AK4:AN4"/>
    <mergeCell ref="B6:E7"/>
    <mergeCell ref="B8:E9"/>
    <mergeCell ref="Y6:AB7"/>
    <mergeCell ref="Y8:AB9"/>
    <mergeCell ref="F8:M9"/>
    <mergeCell ref="N8:W9"/>
    <mergeCell ref="X8:X9"/>
    <mergeCell ref="X6:X7"/>
    <mergeCell ref="AC8:AF9"/>
    <mergeCell ref="AG8:AN9"/>
    <mergeCell ref="F6:M7"/>
    <mergeCell ref="N6:W7"/>
    <mergeCell ref="AC6:AF7"/>
    <mergeCell ref="AG6:AN7"/>
    <mergeCell ref="AK22:AN27"/>
    <mergeCell ref="AA28:AD33"/>
    <mergeCell ref="AK28:AN33"/>
    <mergeCell ref="AE22:AH23"/>
    <mergeCell ref="AE24:AH27"/>
    <mergeCell ref="AE28:AH29"/>
    <mergeCell ref="AE30:AH33"/>
    <mergeCell ref="AA22:AD27"/>
    <mergeCell ref="AK12:AN15"/>
    <mergeCell ref="AA16:AD21"/>
    <mergeCell ref="AK16:AN21"/>
    <mergeCell ref="AE18:AH21"/>
    <mergeCell ref="AE16:AH17"/>
    <mergeCell ref="AA12:AD15"/>
    <mergeCell ref="T14:V15"/>
    <mergeCell ref="N18:P19"/>
    <mergeCell ref="Q18:S19"/>
    <mergeCell ref="T18:V19"/>
    <mergeCell ref="AE12:AH15"/>
    <mergeCell ref="E12:J13"/>
    <mergeCell ref="K12:P13"/>
    <mergeCell ref="Q12:V13"/>
    <mergeCell ref="Q16:S17"/>
    <mergeCell ref="W28:Z33"/>
    <mergeCell ref="W12:Z15"/>
    <mergeCell ref="W22:Z27"/>
    <mergeCell ref="T16:V17"/>
    <mergeCell ref="Q20:S21"/>
    <mergeCell ref="T20:V21"/>
    <mergeCell ref="W16:Z21"/>
    <mergeCell ref="E14:G15"/>
    <mergeCell ref="H14:J15"/>
    <mergeCell ref="K14:M15"/>
    <mergeCell ref="N14:P15"/>
    <mergeCell ref="Q14:S15"/>
    <mergeCell ref="K16:M17"/>
    <mergeCell ref="N16:P17"/>
    <mergeCell ref="K18:M19"/>
    <mergeCell ref="Q22:S23"/>
    <mergeCell ref="T22:V23"/>
    <mergeCell ref="K20:M21"/>
    <mergeCell ref="N20:P21"/>
    <mergeCell ref="K22:P27"/>
    <mergeCell ref="Q28:V33"/>
    <mergeCell ref="H26:J27"/>
    <mergeCell ref="H28:J29"/>
    <mergeCell ref="E30:G31"/>
    <mergeCell ref="T24:V25"/>
    <mergeCell ref="K32:M33"/>
    <mergeCell ref="N32:P33"/>
    <mergeCell ref="K30:M31"/>
    <mergeCell ref="N30:P31"/>
    <mergeCell ref="K28:M29"/>
    <mergeCell ref="N28:P29"/>
    <mergeCell ref="H32:J33"/>
    <mergeCell ref="T26:V27"/>
    <mergeCell ref="B16:D21"/>
    <mergeCell ref="B22:D27"/>
    <mergeCell ref="B28:D33"/>
    <mergeCell ref="E22:G23"/>
    <mergeCell ref="E28:G29"/>
    <mergeCell ref="E16:J21"/>
    <mergeCell ref="H22:J23"/>
    <mergeCell ref="E24:G25"/>
    <mergeCell ref="E32:G33"/>
    <mergeCell ref="Q26:S27"/>
    <mergeCell ref="E26:G27"/>
    <mergeCell ref="Q24:S25"/>
    <mergeCell ref="H30:J31"/>
    <mergeCell ref="H24:J25"/>
  </mergeCells>
  <phoneticPr fontId="49"/>
  <printOptions horizontalCentered="1" verticalCentered="1"/>
  <pageMargins left="0.39305555555555555" right="0.39305555555555555" top="0.98402777777777772" bottom="0.39305555555555555" header="0.51111111111111107" footer="0.51111111111111107"/>
  <pageSetup paperSize="9" firstPageNumber="4294963191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【準備】登録</vt:lpstr>
      <vt:lpstr>【準備】対戦カード</vt:lpstr>
      <vt:lpstr>【結果】個人成績表</vt:lpstr>
      <vt:lpstr>【進行】結果入力表</vt:lpstr>
      <vt:lpstr>【結果】リーグ成績表</vt:lpstr>
      <vt:lpstr>【結果】総合結果表</vt:lpstr>
      <vt:lpstr>【結果】リーグ成績表!Print_Area</vt:lpstr>
      <vt:lpstr>【結果】個人成績表!Print_Area</vt:lpstr>
      <vt:lpstr>【準備】対戦カード!Print_Area</vt:lpstr>
      <vt:lpstr>【準備】登録!Print_Area</vt:lpstr>
      <vt:lpstr>【進行】結果入力表!Print_Area</vt:lpstr>
      <vt:lpstr>点数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Kawamoto Kazunori</dc:creator>
  <cp:lastModifiedBy>reinin</cp:lastModifiedBy>
  <cp:revision/>
  <cp:lastPrinted>2021-10-24T09:10:25Z</cp:lastPrinted>
  <dcterms:created xsi:type="dcterms:W3CDTF">2000-07-28T09:12:53Z</dcterms:created>
  <dcterms:modified xsi:type="dcterms:W3CDTF">2021-10-24T09:11:18Z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1041-6.6.0.2538</vt:lpwstr>
  </property>
</Properties>
</file>