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775" tabRatio="727" firstSheet="2" activeTab="7"/>
  </bookViews>
  <sheets>
    <sheet name="①（準備）選手登録" sheetId="1" r:id="rId1"/>
    <sheet name="◆（準備）②運営カード" sheetId="2" r:id="rId2"/>
    <sheet name="◆（運営）③結果入力" sheetId="3" r:id="rId3"/>
    <sheet name="ブロック表" sheetId="4" r:id="rId4"/>
    <sheet name="選手ID" sheetId="5" r:id="rId5"/>
    <sheet name="ゲームNo" sheetId="6" state="hidden" r:id="rId6"/>
    <sheet name="進行" sheetId="7" state="hidden" r:id="rId7"/>
    <sheet name="★(結果)④番手別＆総合成績" sheetId="8" r:id="rId8"/>
    <sheet name="★(結果)⑤府県別個人成績" sheetId="9" r:id="rId9"/>
    <sheet name="全個人成績" sheetId="10" state="hidden" r:id="rId10"/>
  </sheets>
  <definedNames>
    <definedName name="_xlnm.Print_Area" localSheetId="1">'◆（準備）②運営カード'!$A$19:$AS$62</definedName>
    <definedName name="_xlnm.Print_Area" localSheetId="7">'★(結果)④番手別＆総合成績'!$A$2:$AM$82</definedName>
    <definedName name="_xlnm.Print_Area" localSheetId="8">'★(結果)⑤府県別個人成績'!$A$2:$BB$43</definedName>
    <definedName name="_xlnm.Print_Area" localSheetId="0">'①（準備）選手登録'!$B$12:$Q$37</definedName>
    <definedName name="_xlnm.Print_Area" localSheetId="6">'進行'!$A$4:$D$51</definedName>
    <definedName name="_xlnm.Print_Titles" localSheetId="2">'◆（運営）③結果入力'!$14:$15,'◆（運営）③結果入力'!$A:$A</definedName>
  </definedNames>
  <calcPr fullCalcOnLoad="1"/>
</workbook>
</file>

<file path=xl/comments1.xml><?xml version="1.0" encoding="utf-8"?>
<comments xmlns="http://schemas.openxmlformats.org/spreadsheetml/2006/main">
  <authors>
    <author>河本　一典</author>
  </authors>
  <commentList>
    <comment ref="O13" authorId="0">
      <text>
        <r>
          <rPr>
            <sz val="9"/>
            <rFont val="ＭＳ Ｐゴシック"/>
            <family val="3"/>
          </rPr>
          <t>開始日を入力
（2日開催の場合は
自動的に翌日を表示）</t>
        </r>
      </text>
    </comment>
  </commentList>
</comments>
</file>

<file path=xl/comments2.xml><?xml version="1.0" encoding="utf-8"?>
<comments xmlns="http://schemas.openxmlformats.org/spreadsheetml/2006/main">
  <authors>
    <author>河本　一典</author>
  </authors>
  <commentList>
    <comment ref="B16" authorId="0">
      <text>
        <r>
          <rPr>
            <sz val="18"/>
            <rFont val="ＭＳ Ｐゴシック"/>
            <family val="3"/>
          </rPr>
          <t>ここに印刷する最初のGame-Noを入力
1～20、21～40・・・で順次印刷</t>
        </r>
      </text>
    </comment>
  </commentList>
</comments>
</file>

<file path=xl/sharedStrings.xml><?xml version="1.0" encoding="utf-8"?>
<sst xmlns="http://schemas.openxmlformats.org/spreadsheetml/2006/main" count="1124" uniqueCount="410">
  <si>
    <t>①</t>
  </si>
  <si>
    <t>出場選手の登録をしてください。</t>
  </si>
  <si>
    <t>漢字氏名を入力すると、フリガナは自動的に入力されます。ただし、辞書に一部登録されていないものは、フリガナを入力してください。</t>
  </si>
  <si>
    <t>②</t>
  </si>
  <si>
    <t>出場選手の変更があった場合は、運営カードを印刷する前に入力しなおしてください。</t>
  </si>
  <si>
    <t>③</t>
  </si>
  <si>
    <t>出場しない都道府県がある場合は、選手名のセルを空欄のままで置いておいてください。</t>
  </si>
  <si>
    <t>行や列の削除はしないで下さい。</t>
  </si>
  <si>
    <t>④</t>
  </si>
  <si>
    <t>その他変更内容等は、適宜入力してください。</t>
  </si>
  <si>
    <t>第9回 関西･東海 対抗戦</t>
  </si>
  <si>
    <t>印刷時</t>
  </si>
  <si>
    <t>非表示</t>
  </si>
  <si>
    <t>No</t>
  </si>
  <si>
    <t>都道府県</t>
  </si>
  <si>
    <t>クラブ名</t>
  </si>
  <si>
    <t>番　手</t>
  </si>
  <si>
    <t>前回順位</t>
  </si>
  <si>
    <t>フリガナ</t>
  </si>
  <si>
    <t>氏　名</t>
  </si>
  <si>
    <t>奈良</t>
  </si>
  <si>
    <t>京都</t>
  </si>
  <si>
    <t>滋賀</t>
  </si>
  <si>
    <t>三重</t>
  </si>
  <si>
    <t>和歌山</t>
  </si>
  <si>
    <t>GPBC</t>
  </si>
  <si>
    <t>印刷する運営カードのGame-No（進行シート等を参照）の最初の番号を入力してください。</t>
  </si>
  <si>
    <t>同じGame-NoのA～Dの各ブロックの5枚ずつが表示されます。</t>
  </si>
  <si>
    <t>印刷は、最終出場選手が入力されているか確認してから行ってください。</t>
  </si>
  <si>
    <t>印刷は、プリンタの設定、用紙の設定（ハガキまたはA6）等を確認してから行ってください。</t>
  </si>
  <si>
    <t>印刷プレビューで確かめてもよいと思います。</t>
  </si>
  <si>
    <t>チーム数が少ないため、Game-Noが少ないブロックがある場合は、</t>
  </si>
  <si>
    <t>「メニューバーの　表示　→　改ページプレビュー」で印刷範囲（青い線内）を調整して行ってください。</t>
  </si>
  <si>
    <t>⑤</t>
  </si>
  <si>
    <t>空欄のカードが必要な場合は、右を使用してください。→</t>
  </si>
  <si>
    <t xml:space="preserve"> </t>
  </si>
  <si>
    <t>使用の際は、印刷範囲の設定が必要です。</t>
  </si>
  <si>
    <t>ブロック</t>
  </si>
  <si>
    <t>G-No</t>
  </si>
  <si>
    <t>T-No</t>
  </si>
  <si>
    <t>所属</t>
  </si>
  <si>
    <t>氏名</t>
  </si>
  <si>
    <t>Game-No</t>
  </si>
  <si>
    <t>得点</t>
  </si>
  <si>
    <t>～</t>
  </si>
  <si>
    <t>HR</t>
  </si>
  <si>
    <t>レフリー</t>
  </si>
  <si>
    <t>-</t>
  </si>
  <si>
    <t>ｼﾒｲ</t>
  </si>
  <si>
    <t>試合結果を入力してください。</t>
  </si>
  <si>
    <r>
      <t>勝者のPoint欄には　</t>
    </r>
    <r>
      <rPr>
        <sz val="14"/>
        <color indexed="12"/>
        <rFont val="ＭＳ Ｐゴシック"/>
        <family val="3"/>
      </rPr>
      <t>W</t>
    </r>
    <r>
      <rPr>
        <sz val="14"/>
        <color indexed="10"/>
        <rFont val="ＭＳ Ｐゴシック"/>
        <family val="3"/>
      </rPr>
      <t>　(半角)、敗者のPoint欄は　</t>
    </r>
    <r>
      <rPr>
        <sz val="14"/>
        <color indexed="12"/>
        <rFont val="ＭＳ Ｐゴシック"/>
        <family val="3"/>
      </rPr>
      <t>負け点</t>
    </r>
  </si>
  <si>
    <t>同時にHR（ハイラン）も入力してください。</t>
  </si>
  <si>
    <r>
      <t>Aハイランは　</t>
    </r>
    <r>
      <rPr>
        <sz val="14"/>
        <color indexed="12"/>
        <rFont val="ＭＳ Ｐゴシック"/>
        <family val="3"/>
      </rPr>
      <t>A120</t>
    </r>
    <r>
      <rPr>
        <sz val="14"/>
        <color indexed="10"/>
        <rFont val="ＭＳ Ｐゴシック"/>
        <family val="3"/>
      </rPr>
      <t>(半角)　、Bハイランは　</t>
    </r>
    <r>
      <rPr>
        <sz val="14"/>
        <color indexed="12"/>
        <rFont val="ＭＳ Ｐゴシック"/>
        <family val="3"/>
      </rPr>
      <t>B120</t>
    </r>
    <r>
      <rPr>
        <sz val="14"/>
        <color indexed="10"/>
        <rFont val="ＭＳ Ｐゴシック"/>
        <family val="3"/>
      </rPr>
      <t>(半角)　、その他のハイランは　</t>
    </r>
    <r>
      <rPr>
        <sz val="14"/>
        <color indexed="12"/>
        <rFont val="ＭＳ Ｐゴシック"/>
        <family val="3"/>
      </rPr>
      <t>点数</t>
    </r>
    <r>
      <rPr>
        <sz val="14"/>
        <color indexed="10"/>
        <rFont val="ＭＳ Ｐゴシック"/>
        <family val="3"/>
      </rPr>
      <t>　</t>
    </r>
  </si>
  <si>
    <t>複数のパソコンを用いて入力した結果を反映する場合には、「HR　Point　Point　HR」の背景色が白い部分のみを貼り付けてください。</t>
  </si>
  <si>
    <t>その他の部分の貼り付けや、行や列の削除はしないで下さい。</t>
  </si>
  <si>
    <t>A</t>
  </si>
  <si>
    <t>Section</t>
  </si>
  <si>
    <t>Team</t>
  </si>
  <si>
    <t>Player</t>
  </si>
  <si>
    <t>Point</t>
  </si>
  <si>
    <t>都道府県対抗ブロック表</t>
  </si>
  <si>
    <t>Aブロック</t>
  </si>
  <si>
    <t>ID</t>
  </si>
  <si>
    <t>昨年度</t>
  </si>
  <si>
    <t>今年度</t>
  </si>
  <si>
    <t>順位</t>
  </si>
  <si>
    <t>大阪A</t>
  </si>
  <si>
    <t>兵庫A</t>
  </si>
  <si>
    <t>愛知</t>
  </si>
  <si>
    <t>大阪B</t>
  </si>
  <si>
    <t>兵庫B</t>
  </si>
  <si>
    <t>選手ID</t>
  </si>
  <si>
    <t>参照行</t>
  </si>
  <si>
    <t>参照列</t>
  </si>
  <si>
    <t>選手名</t>
  </si>
  <si>
    <t>ｾﾝｼｭﾒｲ</t>
  </si>
  <si>
    <t>011</t>
  </si>
  <si>
    <t>01</t>
  </si>
  <si>
    <t>012</t>
  </si>
  <si>
    <t>013</t>
  </si>
  <si>
    <t>02</t>
  </si>
  <si>
    <t>014</t>
  </si>
  <si>
    <t>015</t>
  </si>
  <si>
    <t>03</t>
  </si>
  <si>
    <t>021</t>
  </si>
  <si>
    <t>022</t>
  </si>
  <si>
    <t>04</t>
  </si>
  <si>
    <t>023</t>
  </si>
  <si>
    <t>024</t>
  </si>
  <si>
    <t>05</t>
  </si>
  <si>
    <t>025</t>
  </si>
  <si>
    <t>031</t>
  </si>
  <si>
    <t>06</t>
  </si>
  <si>
    <t>032</t>
  </si>
  <si>
    <t>033</t>
  </si>
  <si>
    <t>07</t>
  </si>
  <si>
    <t>034</t>
  </si>
  <si>
    <t>035</t>
  </si>
  <si>
    <t>08</t>
  </si>
  <si>
    <t>041</t>
  </si>
  <si>
    <t>042</t>
  </si>
  <si>
    <t>09</t>
  </si>
  <si>
    <t>043</t>
  </si>
  <si>
    <t>044</t>
  </si>
  <si>
    <t>10</t>
  </si>
  <si>
    <t>045</t>
  </si>
  <si>
    <t>051</t>
  </si>
  <si>
    <t>11</t>
  </si>
  <si>
    <t>052</t>
  </si>
  <si>
    <t>053</t>
  </si>
  <si>
    <t>12</t>
  </si>
  <si>
    <t>054</t>
  </si>
  <si>
    <t>055</t>
  </si>
  <si>
    <t>061</t>
  </si>
  <si>
    <t>062</t>
  </si>
  <si>
    <t>063</t>
  </si>
  <si>
    <t>064</t>
  </si>
  <si>
    <t>065</t>
  </si>
  <si>
    <t>071</t>
  </si>
  <si>
    <t>072</t>
  </si>
  <si>
    <t>073</t>
  </si>
  <si>
    <t>074</t>
  </si>
  <si>
    <t>075</t>
  </si>
  <si>
    <t>081</t>
  </si>
  <si>
    <t>082</t>
  </si>
  <si>
    <t>083</t>
  </si>
  <si>
    <t>084</t>
  </si>
  <si>
    <t>085</t>
  </si>
  <si>
    <t>091</t>
  </si>
  <si>
    <t>092</t>
  </si>
  <si>
    <t>093</t>
  </si>
  <si>
    <t>094</t>
  </si>
  <si>
    <t>095</t>
  </si>
  <si>
    <t>101</t>
  </si>
  <si>
    <t>102</t>
  </si>
  <si>
    <t>103</t>
  </si>
  <si>
    <t>104</t>
  </si>
  <si>
    <t>105</t>
  </si>
  <si>
    <t>111</t>
  </si>
  <si>
    <t>112</t>
  </si>
  <si>
    <t>113</t>
  </si>
  <si>
    <t>114</t>
  </si>
  <si>
    <t>115</t>
  </si>
  <si>
    <t>121</t>
  </si>
  <si>
    <t>122</t>
  </si>
  <si>
    <t>123</t>
  </si>
  <si>
    <t>124</t>
  </si>
  <si>
    <t>125</t>
  </si>
  <si>
    <t>131</t>
  </si>
  <si>
    <t>132</t>
  </si>
  <si>
    <t>133</t>
  </si>
  <si>
    <t>134</t>
  </si>
  <si>
    <t>135</t>
  </si>
  <si>
    <t>9チーム</t>
  </si>
  <si>
    <t>10チーム</t>
  </si>
  <si>
    <t>11チーム</t>
  </si>
  <si>
    <t>12チーム</t>
  </si>
  <si>
    <t>C</t>
  </si>
  <si>
    <t>Total-No</t>
  </si>
  <si>
    <t>Section-No</t>
  </si>
  <si>
    <t>Team-α</t>
  </si>
  <si>
    <t>Team-β</t>
  </si>
  <si>
    <t>Player-No</t>
  </si>
  <si>
    <t>α</t>
  </si>
  <si>
    <t>β</t>
  </si>
  <si>
    <t>罫線は手作業で、節がわかるように入れてください。</t>
  </si>
  <si>
    <t>このシートは操作の必要がありません。</t>
  </si>
  <si>
    <t>ゲーム進行順序</t>
  </si>
  <si>
    <t>ゲームNo.</t>
  </si>
  <si>
    <t>A  ブロック</t>
  </si>
  <si>
    <t>1 ～　5</t>
  </si>
  <si>
    <t>VS</t>
  </si>
  <si>
    <t>6 ～ 10</t>
  </si>
  <si>
    <t>11 ～ 15</t>
  </si>
  <si>
    <t>16 ～ 20</t>
  </si>
  <si>
    <t>21 ～ 25</t>
  </si>
  <si>
    <t>26 ～ 30</t>
  </si>
  <si>
    <t>31 ～ 35</t>
  </si>
  <si>
    <t>36 ～ 40</t>
  </si>
  <si>
    <t>41 ～ 45</t>
  </si>
  <si>
    <t>46 ～ 50</t>
  </si>
  <si>
    <t>51 ～ 55</t>
  </si>
  <si>
    <t>56 ～ 60</t>
  </si>
  <si>
    <t>61 ～ 65</t>
  </si>
  <si>
    <t>66 ～ 70</t>
  </si>
  <si>
    <t>71 ～ 75</t>
  </si>
  <si>
    <t>76 ～ 80</t>
  </si>
  <si>
    <t>81 ～ 85</t>
  </si>
  <si>
    <t>86 ～ 90</t>
  </si>
  <si>
    <t>91 ～ 95</t>
  </si>
  <si>
    <t>96 ～100</t>
  </si>
  <si>
    <t>101～105</t>
  </si>
  <si>
    <t>106～110</t>
  </si>
  <si>
    <t>111～115</t>
  </si>
  <si>
    <t>116～120</t>
  </si>
  <si>
    <t>121～125</t>
  </si>
  <si>
    <t>126～130</t>
  </si>
  <si>
    <t>131～135</t>
  </si>
  <si>
    <t>136～140</t>
  </si>
  <si>
    <t>141～145</t>
  </si>
  <si>
    <t>146～150</t>
  </si>
  <si>
    <t>151～155</t>
  </si>
  <si>
    <t>156～160</t>
  </si>
  <si>
    <t>161～165</t>
  </si>
  <si>
    <t>166～170</t>
  </si>
  <si>
    <t>171～175</t>
  </si>
  <si>
    <t>176～180</t>
  </si>
  <si>
    <t>181～185</t>
  </si>
  <si>
    <t>186～190</t>
  </si>
  <si>
    <t>191～195</t>
  </si>
  <si>
    <t>196～200</t>
  </si>
  <si>
    <t>201～205</t>
  </si>
  <si>
    <t>206～210</t>
  </si>
  <si>
    <t>211～215</t>
  </si>
  <si>
    <t>216～220</t>
  </si>
  <si>
    <t>221～225</t>
  </si>
  <si>
    <t>226～230</t>
  </si>
  <si>
    <t>231～235</t>
  </si>
  <si>
    <t>236～240</t>
  </si>
  <si>
    <t>241～245</t>
  </si>
  <si>
    <t>246～250</t>
  </si>
  <si>
    <t>251～255</t>
  </si>
  <si>
    <t>256～260</t>
  </si>
  <si>
    <t>261～265</t>
  </si>
  <si>
    <t>266～270</t>
  </si>
  <si>
    <t>271～275</t>
  </si>
  <si>
    <t>このシートは操作の必要はありません</t>
  </si>
  <si>
    <t>会場：</t>
  </si>
  <si>
    <t>組</t>
  </si>
  <si>
    <t>都道
府県</t>
  </si>
  <si>
    <t>W</t>
  </si>
  <si>
    <t>L</t>
  </si>
  <si>
    <t>TP</t>
  </si>
  <si>
    <t>LP</t>
  </si>
  <si>
    <t>R</t>
  </si>
  <si>
    <t>済試合数</t>
  </si>
  <si>
    <t>残試合数</t>
  </si>
  <si>
    <t>R_Point
W*1億+TP*1万-LP</t>
  </si>
  <si>
    <t>MAX</t>
  </si>
  <si>
    <t>A回数</t>
  </si>
  <si>
    <t>B回数</t>
  </si>
  <si>
    <t>HR計</t>
  </si>
  <si>
    <t>HR_Point
A*100万+B*1万+HR計</t>
  </si>
  <si>
    <t>HR_R</t>
  </si>
  <si>
    <t>総合</t>
  </si>
  <si>
    <t>勝率</t>
  </si>
  <si>
    <t>平均得点</t>
  </si>
  <si>
    <t>平均失点</t>
  </si>
  <si>
    <t>個人賞</t>
  </si>
  <si>
    <t>←　1位チーム数</t>
  </si>
  <si>
    <t>Total-R</t>
  </si>
  <si>
    <t>選手氏名</t>
  </si>
  <si>
    <t>HR_P</t>
  </si>
  <si>
    <t>同R数</t>
  </si>
  <si>
    <t>1組</t>
  </si>
  <si>
    <t>2組</t>
  </si>
  <si>
    <t>3組</t>
  </si>
  <si>
    <t>4組</t>
  </si>
  <si>
    <t>5組</t>
  </si>
  <si>
    <t>兵庫</t>
  </si>
  <si>
    <t>HRC</t>
  </si>
  <si>
    <t>愛知</t>
  </si>
  <si>
    <t>ARC</t>
  </si>
  <si>
    <t>京都</t>
  </si>
  <si>
    <t>KRC</t>
  </si>
  <si>
    <t>和歌山</t>
  </si>
  <si>
    <t>WRC</t>
  </si>
  <si>
    <t>滋賀</t>
  </si>
  <si>
    <t>SBC</t>
  </si>
  <si>
    <t>奈良</t>
  </si>
  <si>
    <t>NRC</t>
  </si>
  <si>
    <t>三重</t>
  </si>
  <si>
    <t>MRC</t>
  </si>
  <si>
    <t>岐阜</t>
  </si>
  <si>
    <t>岩本</t>
  </si>
  <si>
    <t>剛</t>
  </si>
  <si>
    <t>水田</t>
  </si>
  <si>
    <t>賢宏</t>
  </si>
  <si>
    <t>長谷川</t>
  </si>
  <si>
    <t>進</t>
  </si>
  <si>
    <t>植田</t>
  </si>
  <si>
    <t>慎也</t>
  </si>
  <si>
    <t>山田</t>
  </si>
  <si>
    <t>晃司</t>
  </si>
  <si>
    <t>酒井</t>
  </si>
  <si>
    <t>美希</t>
  </si>
  <si>
    <t>大橋</t>
  </si>
  <si>
    <t>義治</t>
  </si>
  <si>
    <t>西峰</t>
  </si>
  <si>
    <t>久祐</t>
  </si>
  <si>
    <t>ﾋｻﾉﾘ</t>
  </si>
  <si>
    <t>長田</t>
  </si>
  <si>
    <t>智紀</t>
  </si>
  <si>
    <t>正寛</t>
  </si>
  <si>
    <t>岸上</t>
  </si>
  <si>
    <t>賢一</t>
  </si>
  <si>
    <t>末岡</t>
  </si>
  <si>
    <t>修</t>
  </si>
  <si>
    <t>杉本</t>
  </si>
  <si>
    <t>博章</t>
  </si>
  <si>
    <t>丹次</t>
  </si>
  <si>
    <t>力良</t>
  </si>
  <si>
    <t>和田</t>
  </si>
  <si>
    <t>宗一郎</t>
  </si>
  <si>
    <t>ﾁｶﾗ</t>
  </si>
  <si>
    <t>木村</t>
  </si>
  <si>
    <t>隼人</t>
  </si>
  <si>
    <t>辻</t>
  </si>
  <si>
    <t>和美</t>
  </si>
  <si>
    <t>徳永</t>
  </si>
  <si>
    <t>修児</t>
  </si>
  <si>
    <t>高橋</t>
  </si>
  <si>
    <t>浩之</t>
  </si>
  <si>
    <t>野原</t>
  </si>
  <si>
    <t>朋和</t>
  </si>
  <si>
    <t>小川</t>
  </si>
  <si>
    <t>晃</t>
  </si>
  <si>
    <t>櫻井</t>
  </si>
  <si>
    <t>崇之</t>
  </si>
  <si>
    <t>野田</t>
  </si>
  <si>
    <t>近藤</t>
  </si>
  <si>
    <t>智靖</t>
  </si>
  <si>
    <t>島田</t>
  </si>
  <si>
    <t>隆嗣</t>
  </si>
  <si>
    <t>ﾘｭｳｼﾞ</t>
  </si>
  <si>
    <t>水野</t>
  </si>
  <si>
    <t>憲一</t>
  </si>
  <si>
    <t>市川</t>
  </si>
  <si>
    <t>裕貴</t>
  </si>
  <si>
    <t>黒宮</t>
  </si>
  <si>
    <t>健二</t>
  </si>
  <si>
    <t>諭</t>
  </si>
  <si>
    <t>森本</t>
  </si>
  <si>
    <t>英幸</t>
  </si>
  <si>
    <t>絢也</t>
  </si>
  <si>
    <t>ｼﾞｭﾝﾔ</t>
  </si>
  <si>
    <t>村上</t>
  </si>
  <si>
    <t>泰辰</t>
  </si>
  <si>
    <t>ﾔｽﾖｼ</t>
  </si>
  <si>
    <t>山岡</t>
  </si>
  <si>
    <t>修二</t>
  </si>
  <si>
    <t>吉岡</t>
  </si>
  <si>
    <t>保俊</t>
  </si>
  <si>
    <t>ﾔｽﾄｼ</t>
  </si>
  <si>
    <t>乾</t>
  </si>
  <si>
    <t>伸綱</t>
  </si>
  <si>
    <t>玄英</t>
  </si>
  <si>
    <t>ﾐﾁﾋﾃﾞ</t>
  </si>
  <si>
    <t>確認中</t>
  </si>
  <si>
    <t>手入力</t>
  </si>
  <si>
    <t>の計20枚印刷</t>
  </si>
  <si>
    <t>ﾖｼﾋﾛ</t>
  </si>
  <si>
    <t>大阪B</t>
  </si>
  <si>
    <t>大阪A</t>
  </si>
  <si>
    <t>ORC-B</t>
  </si>
  <si>
    <t>ORC-A</t>
  </si>
  <si>
    <t>由本</t>
  </si>
  <si>
    <t>拓</t>
  </si>
  <si>
    <t>西田</t>
  </si>
  <si>
    <t>恵子</t>
  </si>
  <si>
    <t>野村</t>
  </si>
  <si>
    <t>宗司</t>
  </si>
  <si>
    <t>山崎</t>
  </si>
  <si>
    <t>真紀子</t>
  </si>
  <si>
    <t>今村</t>
  </si>
  <si>
    <t>哲也</t>
  </si>
  <si>
    <t>田附</t>
  </si>
  <si>
    <t>ﾀﾂﾞｹ</t>
  </si>
  <si>
    <t>裕次</t>
  </si>
  <si>
    <t>佐藤</t>
  </si>
  <si>
    <t>雄吾</t>
  </si>
  <si>
    <t>加藤</t>
  </si>
  <si>
    <t>秀万</t>
  </si>
  <si>
    <t>山下</t>
  </si>
  <si>
    <t>直生</t>
  </si>
  <si>
    <t>ﾅｵｷ</t>
  </si>
  <si>
    <t>高木</t>
  </si>
  <si>
    <t>俊行</t>
  </si>
  <si>
    <t>堂園</t>
  </si>
  <si>
    <t>雅也</t>
  </si>
  <si>
    <t>森</t>
  </si>
  <si>
    <t>映智</t>
  </si>
  <si>
    <t>白澤</t>
  </si>
  <si>
    <t>雄一郎</t>
  </si>
  <si>
    <t>ｼﾗｻﾞﾜ</t>
  </si>
  <si>
    <t>平井</t>
  </si>
  <si>
    <t>洸志</t>
  </si>
  <si>
    <t>ｱｷﾄｼ</t>
  </si>
  <si>
    <t>小森</t>
  </si>
  <si>
    <t>雅昭</t>
  </si>
  <si>
    <t>ｺｳ</t>
  </si>
  <si>
    <t>大阪B</t>
  </si>
  <si>
    <t>玉出ACE</t>
  </si>
  <si>
    <t>B120</t>
  </si>
  <si>
    <t>W</t>
  </si>
  <si>
    <t>W</t>
  </si>
  <si>
    <t>W</t>
  </si>
  <si>
    <t>B120</t>
  </si>
  <si>
    <t>W</t>
  </si>
  <si>
    <t>A120</t>
  </si>
  <si>
    <t>W</t>
  </si>
  <si>
    <t>W</t>
  </si>
  <si>
    <t>W</t>
  </si>
  <si>
    <t>W</t>
  </si>
  <si>
    <t>W</t>
  </si>
  <si>
    <t>W</t>
  </si>
  <si>
    <t>W</t>
  </si>
  <si>
    <t>W</t>
  </si>
  <si>
    <t>W</t>
  </si>
  <si>
    <t>W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</si>
</sst>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0"/>
    <numFmt numFmtId="181" formatCode="d"/>
    <numFmt numFmtId="182" formatCode="0.0_ "/>
    <numFmt numFmtId="183" formatCode="0.000_ "/>
  </numFmts>
  <fonts count="68">
    <font>
      <sz val="11"/>
      <name val="ＭＳ Ｐゴシック"/>
      <family val="3"/>
    </font>
    <font>
      <sz val="14"/>
      <color indexed="12"/>
      <name val="ＭＳ Ｐゴシック"/>
      <family val="3"/>
    </font>
    <font>
      <sz val="14"/>
      <color indexed="10"/>
      <name val="ＭＳ Ｐゴシック"/>
      <family val="3"/>
    </font>
    <font>
      <sz val="10"/>
      <name val="ＭＳ Ｐゴシック"/>
      <family val="3"/>
    </font>
    <font>
      <sz val="10"/>
      <color indexed="55"/>
      <name val="ＭＳ Ｐゴシック"/>
      <family val="3"/>
    </font>
    <font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0"/>
      <color indexed="23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sz val="20"/>
      <name val="ＭＳ Ｐゴシック"/>
      <family val="3"/>
    </font>
    <font>
      <sz val="28"/>
      <name val="ＭＳ Ｐゴシック"/>
      <family val="3"/>
    </font>
    <font>
      <sz val="16"/>
      <name val="ＭＳ Ｐゴシック"/>
      <family val="3"/>
    </font>
    <font>
      <sz val="12"/>
      <color indexed="10"/>
      <name val="ＭＳ Ｐゴシック"/>
      <family val="3"/>
    </font>
    <font>
      <sz val="12"/>
      <color indexed="12"/>
      <name val="ＭＳ Ｐゴシック"/>
      <family val="3"/>
    </font>
    <font>
      <sz val="20"/>
      <name val="ＭＳ ゴシック"/>
      <family val="3"/>
    </font>
    <font>
      <sz val="11"/>
      <name val="ＭＳ ゴシック"/>
      <family val="3"/>
    </font>
    <font>
      <sz val="12"/>
      <color indexed="12"/>
      <name val="ＭＳ ゴシック"/>
      <family val="3"/>
    </font>
    <font>
      <sz val="12"/>
      <name val="ＭＳ Ｐゴシック"/>
      <family val="3"/>
    </font>
    <font>
      <sz val="12"/>
      <color indexed="10"/>
      <name val="ＭＳ ゴシック"/>
      <family val="3"/>
    </font>
    <font>
      <sz val="24"/>
      <name val="ＭＳ Ｐゴシック"/>
      <family val="3"/>
    </font>
    <font>
      <sz val="10"/>
      <color indexed="9"/>
      <name val="ＭＳ Ｐゴシック"/>
      <family val="3"/>
    </font>
    <font>
      <i/>
      <sz val="12"/>
      <name val="ＭＳ Ｐゴシック"/>
      <family val="3"/>
    </font>
    <font>
      <sz val="10"/>
      <color indexed="22"/>
      <name val="ＭＳ Ｐゴシック"/>
      <family val="3"/>
    </font>
    <font>
      <b/>
      <sz val="10"/>
      <color indexed="22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double"/>
      <top style="medium"/>
      <bottom style="double"/>
    </border>
    <border>
      <left style="double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double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double"/>
      <right style="hair"/>
      <top style="hair"/>
      <bottom style="medium"/>
    </border>
    <border>
      <left style="hair"/>
      <right style="medium"/>
      <top style="hair"/>
      <bottom style="medium"/>
    </border>
    <border>
      <left style="double"/>
      <right style="hair"/>
      <top style="medium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medium"/>
    </border>
    <border>
      <left style="hair"/>
      <right style="double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double"/>
      <top style="double"/>
      <bottom style="hair"/>
    </border>
    <border>
      <left style="medium"/>
      <right style="double"/>
      <top style="medium"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double"/>
      <bottom style="hair"/>
    </border>
    <border>
      <left style="medium"/>
      <right style="double"/>
      <top style="medium"/>
      <bottom style="double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double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double"/>
      <top style="hair"/>
      <bottom style="thick">
        <color indexed="10"/>
      </bottom>
    </border>
    <border>
      <left style="medium"/>
      <right style="thin"/>
      <top>
        <color indexed="63"/>
      </top>
      <bottom style="thick">
        <color indexed="10"/>
      </bottom>
    </border>
    <border>
      <left style="thin"/>
      <right style="thin"/>
      <top style="hair"/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double"/>
      <right style="hair"/>
      <top style="hair"/>
      <bottom style="thick">
        <color indexed="10"/>
      </bottom>
    </border>
    <border>
      <left style="hair"/>
      <right style="hair"/>
      <top style="hair"/>
      <bottom style="thick">
        <color indexed="10"/>
      </bottom>
    </border>
    <border>
      <left style="hair"/>
      <right style="double"/>
      <top style="hair"/>
      <bottom style="thick">
        <color indexed="10"/>
      </bottom>
    </border>
    <border>
      <left>
        <color indexed="63"/>
      </left>
      <right style="hair"/>
      <top style="hair"/>
      <bottom style="thick">
        <color indexed="10"/>
      </bottom>
    </border>
    <border>
      <left style="hair"/>
      <right style="medium"/>
      <top style="hair"/>
      <bottom style="thick">
        <color indexed="10"/>
      </bottom>
    </border>
    <border>
      <left style="medium"/>
      <right style="double"/>
      <top style="hair"/>
      <bottom style="thick">
        <color indexed="12"/>
      </bottom>
    </border>
    <border>
      <left style="medium"/>
      <right style="thin"/>
      <top>
        <color indexed="63"/>
      </top>
      <bottom style="thick">
        <color indexed="12"/>
      </bottom>
    </border>
    <border>
      <left style="thin"/>
      <right style="thin"/>
      <top style="hair"/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double"/>
      <right style="hair"/>
      <top style="hair"/>
      <bottom style="thick">
        <color indexed="12"/>
      </bottom>
    </border>
    <border>
      <left style="hair"/>
      <right style="hair"/>
      <top style="hair"/>
      <bottom style="thick">
        <color indexed="12"/>
      </bottom>
    </border>
    <border>
      <left style="hair"/>
      <right style="double"/>
      <top style="hair"/>
      <bottom style="thick">
        <color indexed="12"/>
      </bottom>
    </border>
    <border>
      <left>
        <color indexed="63"/>
      </left>
      <right style="hair"/>
      <top style="hair"/>
      <bottom style="thick">
        <color indexed="12"/>
      </bottom>
    </border>
    <border>
      <left style="hair"/>
      <right style="medium"/>
      <top style="hair"/>
      <bottom style="thick">
        <color indexed="12"/>
      </bottom>
    </border>
    <border>
      <left style="medium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>
        <color indexed="63"/>
      </left>
      <right style="medium"/>
      <top style="double"/>
      <bottom style="dashed"/>
    </border>
    <border>
      <left style="medium"/>
      <right style="double"/>
      <top style="double"/>
      <bottom style="dashed"/>
    </border>
    <border>
      <left style="medium"/>
      <right style="double"/>
      <top style="dashed"/>
      <bottom style="dashed"/>
    </border>
    <border>
      <left style="medium"/>
      <right style="double"/>
      <top style="dashed"/>
      <bottom style="medium"/>
    </border>
    <border>
      <left style="medium"/>
      <right style="double"/>
      <top>
        <color indexed="63"/>
      </top>
      <bottom style="dashed"/>
    </border>
    <border>
      <left style="medium"/>
      <right style="double"/>
      <top style="hair"/>
      <bottom style="medium">
        <color indexed="10"/>
      </bottom>
    </border>
    <border>
      <left style="medium"/>
      <right style="thin"/>
      <top>
        <color indexed="63"/>
      </top>
      <bottom style="medium">
        <color indexed="10"/>
      </bottom>
    </border>
    <border>
      <left style="thin"/>
      <right style="thin"/>
      <top style="hair"/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 style="hair"/>
      <top style="hair"/>
      <bottom style="medium">
        <color indexed="10"/>
      </bottom>
    </border>
    <border>
      <left style="hair"/>
      <right style="hair"/>
      <top style="hair"/>
      <bottom style="medium">
        <color indexed="10"/>
      </bottom>
    </border>
    <border>
      <left style="hair"/>
      <right style="double"/>
      <top style="hair"/>
      <bottom style="medium">
        <color indexed="10"/>
      </bottom>
    </border>
    <border>
      <left>
        <color indexed="63"/>
      </left>
      <right style="hair"/>
      <top style="hair"/>
      <bottom style="medium">
        <color indexed="10"/>
      </bottom>
    </border>
    <border>
      <left style="hair"/>
      <right style="medium"/>
      <top style="hair"/>
      <bottom style="medium">
        <color indexed="10"/>
      </bottom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 applyNumberFormat="0" applyBorder="0" applyProtection="0">
      <alignment vertical="center"/>
    </xf>
    <xf numFmtId="0" fontId="66" fillId="32" borderId="0" applyNumberFormat="0" applyBorder="0" applyAlignment="0" applyProtection="0"/>
  </cellStyleXfs>
  <cellXfs count="42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34" borderId="15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34" borderId="16" xfId="0" applyFont="1" applyFill="1" applyBorder="1" applyAlignment="1">
      <alignment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horizontal="left" vertical="center"/>
    </xf>
    <xf numFmtId="0" fontId="0" fillId="34" borderId="20" xfId="0" applyFont="1" applyFill="1" applyBorder="1" applyAlignment="1">
      <alignment horizontal="left" vertical="center"/>
    </xf>
    <xf numFmtId="0" fontId="0" fillId="34" borderId="2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Continuous" vertical="center"/>
    </xf>
    <xf numFmtId="0" fontId="8" fillId="0" borderId="24" xfId="0" applyFont="1" applyFill="1" applyBorder="1" applyAlignment="1">
      <alignment horizontal="centerContinuous" vertical="center"/>
    </xf>
    <xf numFmtId="0" fontId="8" fillId="0" borderId="25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34" borderId="0" xfId="0" applyFont="1" applyFill="1" applyAlignment="1">
      <alignment vertical="center"/>
    </xf>
    <xf numFmtId="0" fontId="9" fillId="35" borderId="0" xfId="0" applyFont="1" applyFill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vertical="center"/>
    </xf>
    <xf numFmtId="0" fontId="0" fillId="34" borderId="50" xfId="0" applyFont="1" applyFill="1" applyBorder="1" applyAlignment="1">
      <alignment horizontal="left" vertical="center"/>
    </xf>
    <xf numFmtId="0" fontId="3" fillId="34" borderId="51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vertical="center"/>
    </xf>
    <xf numFmtId="0" fontId="0" fillId="34" borderId="53" xfId="0" applyFont="1" applyFill="1" applyBorder="1" applyAlignment="1">
      <alignment horizontal="left" vertical="center"/>
    </xf>
    <xf numFmtId="0" fontId="3" fillId="34" borderId="54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vertical="center"/>
    </xf>
    <xf numFmtId="0" fontId="0" fillId="34" borderId="56" xfId="0" applyFont="1" applyFill="1" applyBorder="1" applyAlignment="1">
      <alignment horizontal="left" vertical="center"/>
    </xf>
    <xf numFmtId="0" fontId="0" fillId="34" borderId="57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left" vertical="center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49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59" xfId="0" applyFont="1" applyFill="1" applyBorder="1" applyAlignment="1" applyProtection="1">
      <alignment horizontal="center" vertical="center"/>
      <protection locked="0"/>
    </xf>
    <xf numFmtId="0" fontId="0" fillId="0" borderId="55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60" xfId="0" applyFont="1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0" fillId="35" borderId="0" xfId="0" applyFont="1" applyFill="1" applyAlignment="1">
      <alignment vertical="center"/>
    </xf>
    <xf numFmtId="0" fontId="3" fillId="34" borderId="61" xfId="0" applyFont="1" applyFill="1" applyBorder="1" applyAlignment="1">
      <alignment horizontal="center" vertical="center"/>
    </xf>
    <xf numFmtId="0" fontId="0" fillId="34" borderId="62" xfId="0" applyFont="1" applyFill="1" applyBorder="1" applyAlignment="1">
      <alignment horizontal="left" vertical="center"/>
    </xf>
    <xf numFmtId="0" fontId="0" fillId="35" borderId="63" xfId="0" applyFont="1" applyFill="1" applyBorder="1" applyAlignment="1">
      <alignment horizontal="center" vertical="center"/>
    </xf>
    <xf numFmtId="0" fontId="0" fillId="35" borderId="58" xfId="0" applyFont="1" applyFill="1" applyBorder="1" applyAlignment="1">
      <alignment horizontal="center" vertical="center"/>
    </xf>
    <xf numFmtId="0" fontId="0" fillId="35" borderId="59" xfId="0" applyFont="1" applyFill="1" applyBorder="1" applyAlignment="1">
      <alignment horizontal="center" vertical="center"/>
    </xf>
    <xf numFmtId="0" fontId="0" fillId="35" borderId="64" xfId="0" applyFont="1" applyFill="1" applyBorder="1" applyAlignment="1">
      <alignment horizontal="center" vertical="center"/>
    </xf>
    <xf numFmtId="0" fontId="0" fillId="35" borderId="65" xfId="0" applyFont="1" applyFill="1" applyBorder="1" applyAlignment="1">
      <alignment horizontal="center" vertical="center"/>
    </xf>
    <xf numFmtId="0" fontId="0" fillId="35" borderId="66" xfId="0" applyFont="1" applyFill="1" applyBorder="1" applyAlignment="1">
      <alignment horizontal="center" vertical="center"/>
    </xf>
    <xf numFmtId="0" fontId="11" fillId="34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3" fillId="0" borderId="67" xfId="0" applyFont="1" applyFill="1" applyBorder="1" applyAlignment="1">
      <alignment horizontal="left" vertical="center"/>
    </xf>
    <xf numFmtId="0" fontId="5" fillId="0" borderId="6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69" xfId="0" applyFont="1" applyFill="1" applyBorder="1" applyAlignment="1">
      <alignment horizontal="left" vertical="center"/>
    </xf>
    <xf numFmtId="0" fontId="5" fillId="0" borderId="7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0" fillId="0" borderId="35" xfId="0" applyFont="1" applyFill="1" applyBorder="1" applyAlignment="1">
      <alignment horizontal="centerContinuous" vertical="center"/>
    </xf>
    <xf numFmtId="0" fontId="0" fillId="0" borderId="71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73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74" xfId="0" applyFont="1" applyFill="1" applyBorder="1" applyAlignment="1">
      <alignment horizontal="centerContinuous" vertical="center"/>
    </xf>
    <xf numFmtId="0" fontId="0" fillId="0" borderId="75" xfId="0" applyFont="1" applyFill="1" applyBorder="1" applyAlignment="1">
      <alignment horizontal="center" vertical="center"/>
    </xf>
    <xf numFmtId="0" fontId="15" fillId="0" borderId="76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0" fontId="16" fillId="0" borderId="77" xfId="0" applyFont="1" applyFill="1" applyBorder="1" applyAlignment="1">
      <alignment horizontal="centerContinuous" vertical="center"/>
    </xf>
    <xf numFmtId="0" fontId="16" fillId="0" borderId="78" xfId="0" applyFont="1" applyFill="1" applyBorder="1" applyAlignment="1">
      <alignment horizontal="centerContinuous" vertical="center"/>
    </xf>
    <xf numFmtId="0" fontId="0" fillId="0" borderId="36" xfId="0" applyFont="1" applyFill="1" applyBorder="1" applyAlignment="1">
      <alignment horizontal="centerContinuous" vertical="center"/>
    </xf>
    <xf numFmtId="0" fontId="0" fillId="0" borderId="77" xfId="0" applyFont="1" applyFill="1" applyBorder="1" applyAlignment="1">
      <alignment horizontal="centerContinuous" vertical="center"/>
    </xf>
    <xf numFmtId="0" fontId="0" fillId="0" borderId="78" xfId="0" applyFont="1" applyFill="1" applyBorder="1" applyAlignment="1">
      <alignment horizontal="centerContinuous" vertical="center"/>
    </xf>
    <xf numFmtId="0" fontId="0" fillId="0" borderId="79" xfId="0" applyFont="1" applyFill="1" applyBorder="1" applyAlignment="1">
      <alignment horizontal="centerContinuous" vertical="center"/>
    </xf>
    <xf numFmtId="0" fontId="0" fillId="0" borderId="42" xfId="0" applyFont="1" applyFill="1" applyBorder="1" applyAlignment="1">
      <alignment horizontal="centerContinuous" vertical="center"/>
    </xf>
    <xf numFmtId="0" fontId="0" fillId="0" borderId="80" xfId="0" applyFont="1" applyFill="1" applyBorder="1" applyAlignment="1">
      <alignment horizontal="centerContinuous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Continuous" vertical="center"/>
    </xf>
    <xf numFmtId="0" fontId="0" fillId="0" borderId="43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3" fillId="34" borderId="83" xfId="0" applyFont="1" applyFill="1" applyBorder="1" applyAlignment="1">
      <alignment horizontal="center" vertical="center"/>
    </xf>
    <xf numFmtId="0" fontId="3" fillId="34" borderId="84" xfId="0" applyFont="1" applyFill="1" applyBorder="1" applyAlignment="1">
      <alignment horizontal="center" vertical="center"/>
    </xf>
    <xf numFmtId="0" fontId="3" fillId="34" borderId="85" xfId="0" applyFont="1" applyFill="1" applyBorder="1" applyAlignment="1">
      <alignment horizontal="center" vertical="center"/>
    </xf>
    <xf numFmtId="0" fontId="3" fillId="34" borderId="86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10" fillId="33" borderId="67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20" fillId="0" borderId="0" xfId="60" applyFont="1" applyFill="1" applyAlignment="1">
      <alignment horizontal="centerContinuous" vertical="center"/>
    </xf>
    <xf numFmtId="0" fontId="21" fillId="0" borderId="0" xfId="60" applyFont="1" applyFill="1" applyAlignment="1">
      <alignment vertical="center"/>
    </xf>
    <xf numFmtId="0" fontId="21" fillId="0" borderId="0" xfId="60" applyFont="1" applyFill="1" applyAlignment="1">
      <alignment horizontal="right" vertical="center"/>
    </xf>
    <xf numFmtId="0" fontId="21" fillId="0" borderId="0" xfId="60" applyFont="1" applyFill="1" applyAlignment="1">
      <alignment horizontal="center" vertical="center"/>
    </xf>
    <xf numFmtId="0" fontId="21" fillId="0" borderId="87" xfId="60" applyFont="1" applyFill="1" applyBorder="1" applyAlignment="1">
      <alignment horizontal="right" vertical="center"/>
    </xf>
    <xf numFmtId="0" fontId="21" fillId="0" borderId="88" xfId="60" applyFont="1" applyFill="1" applyBorder="1" applyAlignment="1">
      <alignment horizontal="right" vertical="center"/>
    </xf>
    <xf numFmtId="0" fontId="21" fillId="0" borderId="89" xfId="60" applyFont="1" applyFill="1" applyBorder="1" applyAlignment="1">
      <alignment horizontal="center" vertical="center"/>
    </xf>
    <xf numFmtId="0" fontId="21" fillId="0" borderId="90" xfId="60" applyFont="1" applyFill="1" applyBorder="1" applyAlignment="1">
      <alignment horizontal="center" vertical="center"/>
    </xf>
    <xf numFmtId="0" fontId="21" fillId="0" borderId="91" xfId="60" applyFont="1" applyFill="1" applyBorder="1" applyAlignment="1">
      <alignment horizontal="center" vertical="center"/>
    </xf>
    <xf numFmtId="0" fontId="21" fillId="0" borderId="92" xfId="60" applyFont="1" applyFill="1" applyBorder="1" applyAlignment="1">
      <alignment horizontal="center" vertical="center"/>
    </xf>
    <xf numFmtId="0" fontId="21" fillId="0" borderId="93" xfId="60" applyFont="1" applyFill="1" applyBorder="1" applyAlignment="1">
      <alignment horizontal="center" vertical="center"/>
    </xf>
    <xf numFmtId="0" fontId="21" fillId="0" borderId="94" xfId="60" applyFont="1" applyFill="1" applyBorder="1" applyAlignment="1">
      <alignment horizontal="center" vertical="center"/>
    </xf>
    <xf numFmtId="0" fontId="21" fillId="0" borderId="95" xfId="60" applyFont="1" applyFill="1" applyBorder="1" applyAlignment="1">
      <alignment horizontal="center" vertical="center"/>
    </xf>
    <xf numFmtId="0" fontId="21" fillId="0" borderId="96" xfId="60" applyFont="1" applyFill="1" applyBorder="1" applyAlignment="1">
      <alignment horizontal="right" vertical="center"/>
    </xf>
    <xf numFmtId="0" fontId="21" fillId="0" borderId="97" xfId="60" applyFont="1" applyFill="1" applyBorder="1" applyAlignment="1">
      <alignment horizontal="center" vertical="center"/>
    </xf>
    <xf numFmtId="0" fontId="21" fillId="0" borderId="98" xfId="60" applyFont="1" applyFill="1" applyBorder="1" applyAlignment="1">
      <alignment horizontal="center" vertical="center"/>
    </xf>
    <xf numFmtId="0" fontId="21" fillId="0" borderId="99" xfId="6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2" fillId="0" borderId="0" xfId="60" applyFont="1" applyFill="1" applyAlignment="1">
      <alignment horizontal="left" vertical="center"/>
    </xf>
    <xf numFmtId="0" fontId="0" fillId="0" borderId="72" xfId="0" applyFont="1" applyFill="1" applyBorder="1" applyAlignment="1">
      <alignment horizontal="centerContinuous" vertical="center"/>
    </xf>
    <xf numFmtId="0" fontId="0" fillId="0" borderId="100" xfId="0" applyFont="1" applyFill="1" applyBorder="1" applyAlignment="1">
      <alignment horizontal="centerContinuous" vertical="center"/>
    </xf>
    <xf numFmtId="0" fontId="0" fillId="0" borderId="101" xfId="0" applyFont="1" applyFill="1" applyBorder="1" applyAlignment="1">
      <alignment horizontal="center" vertical="center"/>
    </xf>
    <xf numFmtId="0" fontId="0" fillId="0" borderId="102" xfId="0" applyFont="1" applyFill="1" applyBorder="1" applyAlignment="1">
      <alignment horizontal="centerContinuous" vertical="center"/>
    </xf>
    <xf numFmtId="0" fontId="23" fillId="0" borderId="103" xfId="0" applyFont="1" applyFill="1" applyBorder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104" xfId="0" applyFont="1" applyFill="1" applyBorder="1" applyAlignment="1">
      <alignment horizontal="centerContinuous" vertical="center"/>
    </xf>
    <xf numFmtId="0" fontId="23" fillId="0" borderId="105" xfId="0" applyFont="1" applyFill="1" applyBorder="1" applyAlignment="1">
      <alignment horizontal="center" vertical="center"/>
    </xf>
    <xf numFmtId="0" fontId="23" fillId="0" borderId="106" xfId="0" applyFont="1" applyFill="1" applyBorder="1" applyAlignment="1">
      <alignment horizontal="centerContinuous" vertical="center"/>
    </xf>
    <xf numFmtId="0" fontId="23" fillId="0" borderId="107" xfId="0" applyFont="1" applyFill="1" applyBorder="1" applyAlignment="1">
      <alignment horizontal="centerContinuous" vertical="center"/>
    </xf>
    <xf numFmtId="0" fontId="23" fillId="0" borderId="0" xfId="0" applyFont="1" applyFill="1" applyAlignment="1">
      <alignment vertical="center"/>
    </xf>
    <xf numFmtId="0" fontId="10" fillId="33" borderId="108" xfId="0" applyFont="1" applyFill="1" applyBorder="1" applyAlignment="1">
      <alignment horizontal="center" vertical="center"/>
    </xf>
    <xf numFmtId="0" fontId="24" fillId="0" borderId="0" xfId="60" applyFont="1" applyFill="1" applyAlignment="1">
      <alignment horizontal="left" vertical="center"/>
    </xf>
    <xf numFmtId="0" fontId="0" fillId="0" borderId="105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0" fillId="0" borderId="110" xfId="0" applyFont="1" applyFill="1" applyBorder="1" applyAlignment="1">
      <alignment vertical="center"/>
    </xf>
    <xf numFmtId="0" fontId="0" fillId="0" borderId="111" xfId="0" applyFont="1" applyFill="1" applyBorder="1" applyAlignment="1">
      <alignment vertical="center"/>
    </xf>
    <xf numFmtId="180" fontId="0" fillId="0" borderId="111" xfId="0" applyNumberFormat="1" applyFont="1" applyFill="1" applyBorder="1" applyAlignment="1">
      <alignment vertical="center"/>
    </xf>
    <xf numFmtId="0" fontId="0" fillId="0" borderId="112" xfId="0" applyFont="1" applyFill="1" applyBorder="1" applyAlignment="1">
      <alignment vertical="center"/>
    </xf>
    <xf numFmtId="0" fontId="0" fillId="0" borderId="1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14" xfId="0" applyFont="1" applyFill="1" applyBorder="1" applyAlignment="1">
      <alignment vertical="center"/>
    </xf>
    <xf numFmtId="0" fontId="0" fillId="0" borderId="115" xfId="0" applyFont="1" applyFill="1" applyBorder="1" applyAlignment="1">
      <alignment vertical="center"/>
    </xf>
    <xf numFmtId="0" fontId="0" fillId="0" borderId="116" xfId="0" applyFont="1" applyFill="1" applyBorder="1" applyAlignment="1">
      <alignment vertical="center"/>
    </xf>
    <xf numFmtId="0" fontId="0" fillId="0" borderId="117" xfId="0" applyFont="1" applyFill="1" applyBorder="1" applyAlignment="1">
      <alignment vertical="center"/>
    </xf>
    <xf numFmtId="0" fontId="0" fillId="0" borderId="109" xfId="0" applyFont="1" applyFill="1" applyBorder="1" applyAlignment="1">
      <alignment vertical="center"/>
    </xf>
    <xf numFmtId="0" fontId="0" fillId="0" borderId="105" xfId="0" applyFont="1" applyFill="1" applyBorder="1" applyAlignment="1">
      <alignment vertical="center"/>
    </xf>
    <xf numFmtId="0" fontId="0" fillId="0" borderId="101" xfId="0" applyFont="1" applyFill="1" applyBorder="1" applyAlignment="1">
      <alignment vertical="center"/>
    </xf>
    <xf numFmtId="2" fontId="0" fillId="0" borderId="111" xfId="0" applyNumberFormat="1" applyFont="1" applyFill="1" applyBorder="1" applyAlignment="1">
      <alignment vertical="center"/>
    </xf>
    <xf numFmtId="2" fontId="0" fillId="0" borderId="84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36" borderId="10" xfId="0" applyFont="1" applyFill="1" applyBorder="1" applyAlignment="1" applyProtection="1">
      <alignment vertical="center"/>
      <protection locked="0"/>
    </xf>
    <xf numFmtId="181" fontId="3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09" xfId="0" applyFont="1" applyFill="1" applyBorder="1" applyAlignment="1">
      <alignment vertical="center"/>
    </xf>
    <xf numFmtId="0" fontId="3" fillId="0" borderId="118" xfId="0" applyFont="1" applyFill="1" applyBorder="1" applyAlignment="1" applyProtection="1">
      <alignment horizontal="left" vertical="center"/>
      <protection locked="0"/>
    </xf>
    <xf numFmtId="0" fontId="3" fillId="0" borderId="118" xfId="0" applyFont="1" applyFill="1" applyBorder="1" applyAlignment="1" applyProtection="1">
      <alignment vertical="center"/>
      <protection locked="0"/>
    </xf>
    <xf numFmtId="0" fontId="3" fillId="0" borderId="119" xfId="0" applyFont="1" applyFill="1" applyBorder="1" applyAlignment="1" applyProtection="1">
      <alignment vertical="center"/>
      <protection locked="0"/>
    </xf>
    <xf numFmtId="0" fontId="3" fillId="0" borderId="120" xfId="0" applyFont="1" applyFill="1" applyBorder="1" applyAlignment="1" applyProtection="1">
      <alignment vertical="center"/>
      <protection locked="0"/>
    </xf>
    <xf numFmtId="0" fontId="3" fillId="0" borderId="110" xfId="0" applyFont="1" applyFill="1" applyBorder="1" applyAlignment="1" applyProtection="1">
      <alignment vertical="center"/>
      <protection locked="0"/>
    </xf>
    <xf numFmtId="0" fontId="3" fillId="0" borderId="112" xfId="0" applyFont="1" applyFill="1" applyBorder="1" applyAlignment="1" applyProtection="1">
      <alignment vertical="center"/>
      <protection locked="0"/>
    </xf>
    <xf numFmtId="0" fontId="26" fillId="0" borderId="121" xfId="0" applyFont="1" applyFill="1" applyBorder="1" applyAlignment="1" applyProtection="1">
      <alignment horizontal="left" vertical="center"/>
      <protection locked="0"/>
    </xf>
    <xf numFmtId="0" fontId="3" fillId="0" borderId="121" xfId="0" applyFont="1" applyFill="1" applyBorder="1" applyAlignment="1" applyProtection="1">
      <alignment horizontal="right" vertical="center"/>
      <protection locked="0"/>
    </xf>
    <xf numFmtId="0" fontId="3" fillId="0" borderId="72" xfId="0" applyFont="1" applyFill="1" applyBorder="1" applyAlignment="1" applyProtection="1">
      <alignment vertical="center"/>
      <protection locked="0"/>
    </xf>
    <xf numFmtId="0" fontId="3" fillId="0" borderId="100" xfId="0" applyFont="1" applyFill="1" applyBorder="1" applyAlignment="1" applyProtection="1">
      <alignment vertical="center"/>
      <protection locked="0"/>
    </xf>
    <xf numFmtId="0" fontId="3" fillId="0" borderId="115" xfId="0" applyFont="1" applyFill="1" applyBorder="1" applyAlignment="1" applyProtection="1">
      <alignment vertical="center"/>
      <protection locked="0"/>
    </xf>
    <xf numFmtId="0" fontId="3" fillId="0" borderId="117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22" xfId="0" applyFont="1" applyFill="1" applyBorder="1" applyAlignment="1">
      <alignment horizontal="center" vertical="center" shrinkToFit="1"/>
    </xf>
    <xf numFmtId="0" fontId="3" fillId="0" borderId="101" xfId="0" applyFont="1" applyFill="1" applyBorder="1" applyAlignment="1">
      <alignment vertical="center"/>
    </xf>
    <xf numFmtId="0" fontId="3" fillId="0" borderId="123" xfId="0" applyFont="1" applyFill="1" applyBorder="1" applyAlignment="1">
      <alignment horizontal="center" vertical="center" shrinkToFit="1"/>
    </xf>
    <xf numFmtId="0" fontId="0" fillId="35" borderId="124" xfId="0" applyFont="1" applyFill="1" applyBorder="1" applyAlignment="1">
      <alignment horizontal="center" vertical="center"/>
    </xf>
    <xf numFmtId="0" fontId="3" fillId="34" borderId="125" xfId="0" applyFont="1" applyFill="1" applyBorder="1" applyAlignment="1">
      <alignment horizontal="center" vertical="center"/>
    </xf>
    <xf numFmtId="0" fontId="0" fillId="34" borderId="126" xfId="0" applyFont="1" applyFill="1" applyBorder="1" applyAlignment="1">
      <alignment vertical="center"/>
    </xf>
    <xf numFmtId="0" fontId="0" fillId="34" borderId="127" xfId="0" applyFont="1" applyFill="1" applyBorder="1" applyAlignment="1">
      <alignment vertical="center"/>
    </xf>
    <xf numFmtId="0" fontId="0" fillId="0" borderId="127" xfId="0" applyFont="1" applyFill="1" applyBorder="1" applyAlignment="1" applyProtection="1">
      <alignment horizontal="center" vertical="center"/>
      <protection locked="0"/>
    </xf>
    <xf numFmtId="0" fontId="0" fillId="0" borderId="128" xfId="0" applyFont="1" applyFill="1" applyBorder="1" applyAlignment="1" applyProtection="1">
      <alignment horizontal="center" vertical="center"/>
      <protection locked="0"/>
    </xf>
    <xf numFmtId="0" fontId="0" fillId="0" borderId="126" xfId="0" applyFont="1" applyFill="1" applyBorder="1" applyAlignment="1" applyProtection="1">
      <alignment horizontal="center" vertical="center"/>
      <protection locked="0"/>
    </xf>
    <xf numFmtId="0" fontId="0" fillId="34" borderId="129" xfId="0" applyFont="1" applyFill="1" applyBorder="1" applyAlignment="1">
      <alignment horizontal="left" vertical="center"/>
    </xf>
    <xf numFmtId="0" fontId="0" fillId="34" borderId="130" xfId="0" applyFont="1" applyFill="1" applyBorder="1" applyAlignment="1">
      <alignment horizontal="left" vertical="center"/>
    </xf>
    <xf numFmtId="0" fontId="0" fillId="35" borderId="131" xfId="0" applyFont="1" applyFill="1" applyBorder="1" applyAlignment="1">
      <alignment horizontal="center" vertical="center"/>
    </xf>
    <xf numFmtId="0" fontId="3" fillId="34" borderId="132" xfId="0" applyFont="1" applyFill="1" applyBorder="1" applyAlignment="1">
      <alignment horizontal="center" vertical="center"/>
    </xf>
    <xf numFmtId="0" fontId="3" fillId="34" borderId="133" xfId="0" applyFont="1" applyFill="1" applyBorder="1" applyAlignment="1">
      <alignment horizontal="center" vertical="center"/>
    </xf>
    <xf numFmtId="0" fontId="5" fillId="0" borderId="134" xfId="0" applyFont="1" applyFill="1" applyBorder="1" applyAlignment="1">
      <alignment horizontal="left" vertical="center"/>
    </xf>
    <xf numFmtId="0" fontId="0" fillId="34" borderId="135" xfId="0" applyFont="1" applyFill="1" applyBorder="1" applyAlignment="1">
      <alignment vertical="center"/>
    </xf>
    <xf numFmtId="0" fontId="0" fillId="34" borderId="136" xfId="0" applyFont="1" applyFill="1" applyBorder="1" applyAlignment="1">
      <alignment vertical="center"/>
    </xf>
    <xf numFmtId="0" fontId="0" fillId="0" borderId="136" xfId="0" applyFont="1" applyFill="1" applyBorder="1" applyAlignment="1" applyProtection="1">
      <alignment horizontal="center" vertical="center"/>
      <protection locked="0"/>
    </xf>
    <xf numFmtId="0" fontId="0" fillId="0" borderId="137" xfId="0" applyFont="1" applyFill="1" applyBorder="1" applyAlignment="1" applyProtection="1">
      <alignment horizontal="center" vertical="center"/>
      <protection locked="0"/>
    </xf>
    <xf numFmtId="0" fontId="0" fillId="34" borderId="138" xfId="0" applyFont="1" applyFill="1" applyBorder="1" applyAlignment="1">
      <alignment horizontal="left" vertical="center"/>
    </xf>
    <xf numFmtId="0" fontId="0" fillId="34" borderId="139" xfId="0" applyFont="1" applyFill="1" applyBorder="1" applyAlignment="1">
      <alignment horizontal="left" vertical="center"/>
    </xf>
    <xf numFmtId="0" fontId="0" fillId="35" borderId="140" xfId="0" applyFont="1" applyFill="1" applyBorder="1" applyAlignment="1">
      <alignment horizontal="center" vertical="center"/>
    </xf>
    <xf numFmtId="0" fontId="3" fillId="34" borderId="141" xfId="0" applyFont="1" applyFill="1" applyBorder="1" applyAlignment="1">
      <alignment horizontal="center" vertical="center"/>
    </xf>
    <xf numFmtId="0" fontId="3" fillId="34" borderId="142" xfId="0" applyFont="1" applyFill="1" applyBorder="1" applyAlignment="1">
      <alignment horizontal="center" vertical="center"/>
    </xf>
    <xf numFmtId="0" fontId="5" fillId="0" borderId="143" xfId="0" applyFont="1" applyFill="1" applyBorder="1" applyAlignment="1">
      <alignment horizontal="left" vertical="center"/>
    </xf>
    <xf numFmtId="0" fontId="0" fillId="34" borderId="144" xfId="0" applyFont="1" applyFill="1" applyBorder="1" applyAlignment="1">
      <alignment vertical="center"/>
    </xf>
    <xf numFmtId="0" fontId="0" fillId="34" borderId="145" xfId="0" applyFont="1" applyFill="1" applyBorder="1" applyAlignment="1">
      <alignment vertical="center"/>
    </xf>
    <xf numFmtId="0" fontId="0" fillId="0" borderId="145" xfId="0" applyFont="1" applyFill="1" applyBorder="1" applyAlignment="1" applyProtection="1">
      <alignment horizontal="center" vertical="center"/>
      <protection locked="0"/>
    </xf>
    <xf numFmtId="0" fontId="0" fillId="0" borderId="146" xfId="0" applyFont="1" applyFill="1" applyBorder="1" applyAlignment="1" applyProtection="1">
      <alignment horizontal="center" vertical="center"/>
      <protection locked="0"/>
    </xf>
    <xf numFmtId="0" fontId="0" fillId="0" borderId="144" xfId="0" applyFont="1" applyFill="1" applyBorder="1" applyAlignment="1" applyProtection="1">
      <alignment horizontal="center" vertical="center"/>
      <protection locked="0"/>
    </xf>
    <xf numFmtId="0" fontId="0" fillId="34" borderId="147" xfId="0" applyFont="1" applyFill="1" applyBorder="1" applyAlignment="1">
      <alignment horizontal="left" vertical="center"/>
    </xf>
    <xf numFmtId="0" fontId="0" fillId="34" borderId="148" xfId="0" applyFont="1" applyFill="1" applyBorder="1" applyAlignment="1">
      <alignment horizontal="left" vertical="center"/>
    </xf>
    <xf numFmtId="0" fontId="21" fillId="0" borderId="149" xfId="60" applyFont="1" applyFill="1" applyBorder="1" applyAlignment="1">
      <alignment horizontal="center" vertical="center"/>
    </xf>
    <xf numFmtId="0" fontId="21" fillId="0" borderId="150" xfId="60" applyFont="1" applyFill="1" applyBorder="1" applyAlignment="1">
      <alignment horizontal="center" vertical="center"/>
    </xf>
    <xf numFmtId="0" fontId="21" fillId="0" borderId="151" xfId="60" applyFont="1" applyFill="1" applyBorder="1" applyAlignment="1">
      <alignment horizontal="center" vertical="center"/>
    </xf>
    <xf numFmtId="0" fontId="21" fillId="0" borderId="152" xfId="60" applyFont="1" applyFill="1" applyBorder="1" applyAlignment="1">
      <alignment horizontal="right" vertical="center"/>
    </xf>
    <xf numFmtId="0" fontId="21" fillId="0" borderId="153" xfId="60" applyFont="1" applyFill="1" applyBorder="1" applyAlignment="1">
      <alignment horizontal="right" vertical="center"/>
    </xf>
    <xf numFmtId="0" fontId="21" fillId="0" borderId="154" xfId="60" applyFont="1" applyFill="1" applyBorder="1" applyAlignment="1">
      <alignment horizontal="right" vertical="center"/>
    </xf>
    <xf numFmtId="0" fontId="21" fillId="0" borderId="155" xfId="60" applyFont="1" applyFill="1" applyBorder="1" applyAlignment="1">
      <alignment horizontal="right" vertical="center"/>
    </xf>
    <xf numFmtId="0" fontId="27" fillId="0" borderId="78" xfId="0" applyFont="1" applyFill="1" applyBorder="1" applyAlignment="1">
      <alignment horizontal="centerContinuous" vertical="center"/>
    </xf>
    <xf numFmtId="0" fontId="23" fillId="0" borderId="35" xfId="0" applyFont="1" applyFill="1" applyBorder="1" applyAlignment="1">
      <alignment horizontal="centerContinuous" vertical="center"/>
    </xf>
    <xf numFmtId="0" fontId="23" fillId="0" borderId="71" xfId="0" applyFont="1" applyFill="1" applyBorder="1" applyAlignment="1">
      <alignment horizontal="centerContinuous" vertical="center"/>
    </xf>
    <xf numFmtId="0" fontId="0" fillId="35" borderId="156" xfId="0" applyFont="1" applyFill="1" applyBorder="1" applyAlignment="1">
      <alignment horizontal="center" vertical="center"/>
    </xf>
    <xf numFmtId="0" fontId="3" fillId="34" borderId="157" xfId="0" applyFont="1" applyFill="1" applyBorder="1" applyAlignment="1">
      <alignment horizontal="center" vertical="center"/>
    </xf>
    <xf numFmtId="0" fontId="3" fillId="34" borderId="158" xfId="0" applyFont="1" applyFill="1" applyBorder="1" applyAlignment="1">
      <alignment horizontal="center" vertical="center"/>
    </xf>
    <xf numFmtId="0" fontId="5" fillId="0" borderId="159" xfId="0" applyFont="1" applyFill="1" applyBorder="1" applyAlignment="1">
      <alignment horizontal="left" vertical="center"/>
    </xf>
    <xf numFmtId="0" fontId="0" fillId="34" borderId="160" xfId="0" applyFont="1" applyFill="1" applyBorder="1" applyAlignment="1">
      <alignment vertical="center"/>
    </xf>
    <xf numFmtId="0" fontId="0" fillId="34" borderId="161" xfId="0" applyFont="1" applyFill="1" applyBorder="1" applyAlignment="1">
      <alignment vertical="center"/>
    </xf>
    <xf numFmtId="0" fontId="0" fillId="0" borderId="161" xfId="0" applyFont="1" applyFill="1" applyBorder="1" applyAlignment="1" applyProtection="1">
      <alignment horizontal="center" vertical="center"/>
      <protection locked="0"/>
    </xf>
    <xf numFmtId="0" fontId="0" fillId="0" borderId="162" xfId="0" applyFont="1" applyFill="1" applyBorder="1" applyAlignment="1" applyProtection="1">
      <alignment horizontal="center" vertical="center"/>
      <protection locked="0"/>
    </xf>
    <xf numFmtId="0" fontId="0" fillId="0" borderId="160" xfId="0" applyFont="1" applyFill="1" applyBorder="1" applyAlignment="1" applyProtection="1">
      <alignment horizontal="center" vertical="center"/>
      <protection locked="0"/>
    </xf>
    <xf numFmtId="0" fontId="0" fillId="34" borderId="163" xfId="0" applyFont="1" applyFill="1" applyBorder="1" applyAlignment="1">
      <alignment horizontal="left" vertical="center"/>
    </xf>
    <xf numFmtId="0" fontId="0" fillId="34" borderId="164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vertical="center" shrinkToFit="1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3" fillId="0" borderId="165" xfId="0" applyFont="1" applyFill="1" applyBorder="1" applyAlignment="1">
      <alignment horizontal="center" vertical="center" wrapText="1"/>
    </xf>
    <xf numFmtId="0" fontId="3" fillId="0" borderId="166" xfId="0" applyFont="1" applyFill="1" applyBorder="1" applyAlignment="1">
      <alignment horizontal="centerContinuous" vertical="center"/>
    </xf>
    <xf numFmtId="0" fontId="3" fillId="0" borderId="67" xfId="0" applyFont="1" applyFill="1" applyBorder="1" applyAlignment="1">
      <alignment horizontal="centerContinuous" vertical="center"/>
    </xf>
    <xf numFmtId="0" fontId="3" fillId="0" borderId="167" xfId="0" applyFont="1" applyFill="1" applyBorder="1" applyAlignment="1">
      <alignment horizontal="centerContinuous" vertical="center"/>
    </xf>
    <xf numFmtId="0" fontId="3" fillId="0" borderId="168" xfId="0" applyFont="1" applyFill="1" applyBorder="1" applyAlignment="1">
      <alignment horizontal="center" vertical="center" textRotation="255"/>
    </xf>
    <xf numFmtId="0" fontId="3" fillId="0" borderId="169" xfId="0" applyFont="1" applyFill="1" applyBorder="1" applyAlignment="1">
      <alignment horizontal="center" vertical="center" textRotation="255"/>
    </xf>
    <xf numFmtId="0" fontId="3" fillId="0" borderId="170" xfId="0" applyFont="1" applyFill="1" applyBorder="1" applyAlignment="1">
      <alignment horizontal="center" vertical="center"/>
    </xf>
    <xf numFmtId="0" fontId="3" fillId="0" borderId="169" xfId="0" applyFont="1" applyFill="1" applyBorder="1" applyAlignment="1">
      <alignment horizontal="center" vertical="center"/>
    </xf>
    <xf numFmtId="0" fontId="3" fillId="0" borderId="166" xfId="0" applyFont="1" applyFill="1" applyBorder="1" applyAlignment="1">
      <alignment horizontal="center" vertical="center"/>
    </xf>
    <xf numFmtId="0" fontId="3" fillId="0" borderId="171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top" textRotation="255" wrapText="1"/>
    </xf>
    <xf numFmtId="0" fontId="28" fillId="0" borderId="0" xfId="0" applyFont="1" applyFill="1" applyAlignment="1">
      <alignment vertical="center" wrapText="1"/>
    </xf>
    <xf numFmtId="0" fontId="3" fillId="0" borderId="172" xfId="0" applyFont="1" applyFill="1" applyBorder="1" applyAlignment="1">
      <alignment horizontal="center" vertical="center"/>
    </xf>
    <xf numFmtId="0" fontId="3" fillId="0" borderId="121" xfId="0" applyFont="1" applyFill="1" applyBorder="1" applyAlignment="1">
      <alignment horizontal="left" vertical="center"/>
    </xf>
    <xf numFmtId="0" fontId="3" fillId="0" borderId="72" xfId="0" applyFont="1" applyFill="1" applyBorder="1" applyAlignment="1">
      <alignment horizontal="left" vertical="center"/>
    </xf>
    <xf numFmtId="0" fontId="3" fillId="0" borderId="173" xfId="0" applyFont="1" applyFill="1" applyBorder="1" applyAlignment="1">
      <alignment vertical="center"/>
    </xf>
    <xf numFmtId="0" fontId="3" fillId="0" borderId="100" xfId="0" applyFont="1" applyFill="1" applyBorder="1" applyAlignment="1">
      <alignment horizontal="center" vertical="center"/>
    </xf>
    <xf numFmtId="0" fontId="3" fillId="0" borderId="101" xfId="0" applyFont="1" applyFill="1" applyBorder="1" applyAlignment="1" applyProtection="1">
      <alignment horizontal="center" vertical="center"/>
      <protection locked="0"/>
    </xf>
    <xf numFmtId="0" fontId="3" fillId="0" borderId="174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horizontal="center" vertical="center"/>
    </xf>
    <xf numFmtId="0" fontId="3" fillId="0" borderId="101" xfId="0" applyFont="1" applyFill="1" applyBorder="1" applyAlignment="1">
      <alignment vertical="center"/>
    </xf>
    <xf numFmtId="0" fontId="3" fillId="0" borderId="121" xfId="0" applyFont="1" applyFill="1" applyBorder="1" applyAlignment="1">
      <alignment horizontal="center" vertical="center"/>
    </xf>
    <xf numFmtId="0" fontId="3" fillId="0" borderId="175" xfId="0" applyFont="1" applyFill="1" applyBorder="1" applyAlignment="1">
      <alignment horizontal="center" vertical="center"/>
    </xf>
    <xf numFmtId="0" fontId="3" fillId="0" borderId="176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177" xfId="0" applyFont="1" applyFill="1" applyBorder="1" applyAlignment="1">
      <alignment horizontal="left" vertical="center"/>
    </xf>
    <xf numFmtId="0" fontId="3" fillId="0" borderId="69" xfId="0" applyFont="1" applyFill="1" applyBorder="1" applyAlignment="1">
      <alignment horizontal="left" vertical="center"/>
    </xf>
    <xf numFmtId="0" fontId="3" fillId="0" borderId="178" xfId="0" applyFont="1" applyFill="1" applyBorder="1" applyAlignment="1">
      <alignment vertical="center"/>
    </xf>
    <xf numFmtId="0" fontId="3" fillId="0" borderId="179" xfId="0" applyFont="1" applyFill="1" applyBorder="1" applyAlignment="1">
      <alignment horizontal="center" vertical="center"/>
    </xf>
    <xf numFmtId="0" fontId="3" fillId="0" borderId="180" xfId="0" applyFont="1" applyFill="1" applyBorder="1" applyAlignment="1" applyProtection="1">
      <alignment horizontal="center" vertical="center"/>
      <protection locked="0"/>
    </xf>
    <xf numFmtId="0" fontId="3" fillId="0" borderId="181" xfId="0" applyFont="1" applyFill="1" applyBorder="1" applyAlignment="1">
      <alignment horizontal="center" vertical="center"/>
    </xf>
    <xf numFmtId="0" fontId="3" fillId="0" borderId="180" xfId="0" applyFont="1" applyFill="1" applyBorder="1" applyAlignment="1">
      <alignment horizontal="center" vertical="center"/>
    </xf>
    <xf numFmtId="0" fontId="3" fillId="0" borderId="180" xfId="0" applyFont="1" applyFill="1" applyBorder="1" applyAlignment="1">
      <alignment vertical="center"/>
    </xf>
    <xf numFmtId="0" fontId="3" fillId="0" borderId="177" xfId="0" applyFont="1" applyFill="1" applyBorder="1" applyAlignment="1">
      <alignment horizontal="center" vertical="center"/>
    </xf>
    <xf numFmtId="0" fontId="3" fillId="0" borderId="182" xfId="0" applyFont="1" applyFill="1" applyBorder="1" applyAlignment="1">
      <alignment horizontal="center" vertical="center"/>
    </xf>
    <xf numFmtId="0" fontId="3" fillId="0" borderId="183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left" vertical="center"/>
    </xf>
    <xf numFmtId="0" fontId="3" fillId="0" borderId="184" xfId="0" applyFont="1" applyFill="1" applyBorder="1" applyAlignment="1">
      <alignment vertical="center"/>
    </xf>
    <xf numFmtId="0" fontId="3" fillId="0" borderId="7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85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186" xfId="0" applyFont="1" applyFill="1" applyBorder="1" applyAlignment="1">
      <alignment vertical="center"/>
    </xf>
    <xf numFmtId="0" fontId="3" fillId="0" borderId="80" xfId="0" applyFont="1" applyFill="1" applyBorder="1" applyAlignment="1" applyProtection="1">
      <alignment horizontal="center" vertical="center"/>
      <protection locked="0"/>
    </xf>
    <xf numFmtId="0" fontId="3" fillId="0" borderId="81" xfId="0" applyFont="1" applyFill="1" applyBorder="1" applyAlignment="1">
      <alignment horizontal="center" vertical="center"/>
    </xf>
    <xf numFmtId="0" fontId="3" fillId="0" borderId="81" xfId="0" applyFont="1" applyFill="1" applyBorder="1" applyAlignment="1" applyProtection="1">
      <alignment horizontal="center" vertical="center"/>
      <protection locked="0"/>
    </xf>
    <xf numFmtId="0" fontId="3" fillId="0" borderId="187" xfId="0" applyFont="1" applyFill="1" applyBorder="1" applyAlignment="1">
      <alignment horizontal="center" vertical="center"/>
    </xf>
    <xf numFmtId="0" fontId="28" fillId="0" borderId="70" xfId="0" applyFont="1" applyFill="1" applyBorder="1" applyAlignment="1">
      <alignment horizontal="center" vertical="top" textRotation="255" wrapText="1"/>
    </xf>
    <xf numFmtId="0" fontId="28" fillId="0" borderId="70" xfId="0" applyFont="1" applyFill="1" applyBorder="1" applyAlignment="1">
      <alignment vertical="center" wrapText="1"/>
    </xf>
    <xf numFmtId="0" fontId="28" fillId="0" borderId="70" xfId="0" applyFont="1" applyFill="1" applyBorder="1" applyAlignment="1">
      <alignment vertical="center"/>
    </xf>
    <xf numFmtId="0" fontId="3" fillId="0" borderId="188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top" textRotation="255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189" xfId="0" applyFont="1" applyFill="1" applyBorder="1" applyAlignment="1">
      <alignment horizontal="center" vertical="center"/>
    </xf>
    <xf numFmtId="0" fontId="3" fillId="0" borderId="101" xfId="0" applyFont="1" applyFill="1" applyBorder="1" applyAlignment="1" applyProtection="1">
      <alignment horizontal="center" vertical="center" shrinkToFit="1"/>
      <protection locked="0"/>
    </xf>
    <xf numFmtId="0" fontId="3" fillId="0" borderId="121" xfId="0" applyFont="1" applyFill="1" applyBorder="1" applyAlignment="1" applyProtection="1">
      <alignment horizontal="center" vertical="center" shrinkToFit="1"/>
      <protection locked="0"/>
    </xf>
    <xf numFmtId="0" fontId="3" fillId="0" borderId="190" xfId="0" applyFont="1" applyFill="1" applyBorder="1" applyAlignment="1">
      <alignment horizontal="center" vertical="center" shrinkToFit="1"/>
    </xf>
    <xf numFmtId="0" fontId="3" fillId="0" borderId="19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83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0" borderId="78" xfId="0" applyFont="1" applyFill="1" applyBorder="1" applyAlignment="1" applyProtection="1">
      <alignment horizontal="center" vertical="center" shrinkToFit="1"/>
      <protection locked="0"/>
    </xf>
    <xf numFmtId="0" fontId="3" fillId="0" borderId="192" xfId="0" applyFont="1" applyFill="1" applyBorder="1" applyAlignment="1">
      <alignment horizontal="center" vertical="center" shrinkToFit="1"/>
    </xf>
    <xf numFmtId="0" fontId="3" fillId="0" borderId="193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vertical="center"/>
    </xf>
    <xf numFmtId="0" fontId="28" fillId="0" borderId="69" xfId="0" applyFont="1" applyFill="1" applyBorder="1" applyAlignment="1">
      <alignment vertical="center"/>
    </xf>
    <xf numFmtId="0" fontId="3" fillId="0" borderId="185" xfId="0" applyFont="1" applyFill="1" applyBorder="1" applyAlignment="1" applyProtection="1">
      <alignment horizontal="center" vertical="center" shrinkToFit="1"/>
      <protection locked="0"/>
    </xf>
    <xf numFmtId="0" fontId="3" fillId="0" borderId="81" xfId="0" applyFont="1" applyFill="1" applyBorder="1" applyAlignment="1" applyProtection="1">
      <alignment horizontal="center" vertical="center" shrinkToFit="1"/>
      <protection locked="0"/>
    </xf>
    <xf numFmtId="0" fontId="3" fillId="0" borderId="82" xfId="0" applyFont="1" applyFill="1" applyBorder="1" applyAlignment="1" applyProtection="1">
      <alignment horizontal="center" vertical="center" shrinkToFit="1"/>
      <protection locked="0"/>
    </xf>
    <xf numFmtId="0" fontId="3" fillId="0" borderId="194" xfId="0" applyFont="1" applyFill="1" applyBorder="1" applyAlignment="1">
      <alignment horizontal="center" vertical="center" shrinkToFit="1"/>
    </xf>
    <xf numFmtId="0" fontId="8" fillId="0" borderId="168" xfId="0" applyFont="1" applyFill="1" applyBorder="1" applyAlignment="1">
      <alignment horizontal="center" vertical="center" textRotation="255"/>
    </xf>
    <xf numFmtId="0" fontId="8" fillId="0" borderId="169" xfId="0" applyFont="1" applyFill="1" applyBorder="1" applyAlignment="1">
      <alignment horizontal="center" vertical="center" textRotation="255"/>
    </xf>
    <xf numFmtId="0" fontId="8" fillId="0" borderId="170" xfId="0" applyFont="1" applyFill="1" applyBorder="1" applyAlignment="1">
      <alignment horizontal="center" vertical="center"/>
    </xf>
    <xf numFmtId="0" fontId="8" fillId="0" borderId="169" xfId="0" applyFont="1" applyFill="1" applyBorder="1" applyAlignment="1">
      <alignment horizontal="center" vertical="center"/>
    </xf>
    <xf numFmtId="0" fontId="8" fillId="0" borderId="187" xfId="0" applyFont="1" applyFill="1" applyBorder="1" applyAlignment="1">
      <alignment horizontal="center" vertical="center"/>
    </xf>
    <xf numFmtId="0" fontId="29" fillId="0" borderId="70" xfId="0" applyFont="1" applyFill="1" applyBorder="1" applyAlignment="1">
      <alignment horizontal="center" vertical="top" textRotation="255" wrapText="1"/>
    </xf>
    <xf numFmtId="0" fontId="29" fillId="0" borderId="70" xfId="0" applyFont="1" applyFill="1" applyBorder="1" applyAlignment="1">
      <alignment vertical="center" wrapText="1"/>
    </xf>
    <xf numFmtId="0" fontId="29" fillId="0" borderId="70" xfId="0" applyFont="1" applyFill="1" applyBorder="1" applyAlignment="1">
      <alignment vertical="center"/>
    </xf>
    <xf numFmtId="0" fontId="8" fillId="0" borderId="165" xfId="0" applyFont="1" applyFill="1" applyBorder="1" applyAlignment="1">
      <alignment horizontal="centerContinuous" vertical="center" shrinkToFit="1"/>
    </xf>
    <xf numFmtId="0" fontId="8" fillId="0" borderId="169" xfId="0" applyFont="1" applyFill="1" applyBorder="1" applyAlignment="1">
      <alignment horizontal="centerContinuous" vertical="center" shrinkToFit="1"/>
    </xf>
    <xf numFmtId="0" fontId="29" fillId="0" borderId="169" xfId="0" applyFont="1" applyFill="1" applyBorder="1" applyAlignment="1">
      <alignment horizontal="centerContinuous" vertical="center" shrinkToFit="1"/>
    </xf>
    <xf numFmtId="0" fontId="29" fillId="0" borderId="187" xfId="0" applyFont="1" applyFill="1" applyBorder="1" applyAlignment="1">
      <alignment horizontal="centerContinuous" vertical="center" shrinkToFit="1"/>
    </xf>
    <xf numFmtId="0" fontId="8" fillId="0" borderId="195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0" fontId="8" fillId="0" borderId="79" xfId="0" applyFont="1" applyFill="1" applyBorder="1" applyAlignment="1">
      <alignment horizontal="center" vertical="center"/>
    </xf>
    <xf numFmtId="0" fontId="3" fillId="36" borderId="120" xfId="0" applyFont="1" applyFill="1" applyBorder="1" applyAlignment="1" applyProtection="1">
      <alignment vertical="center"/>
      <protection locked="0"/>
    </xf>
    <xf numFmtId="0" fontId="3" fillId="0" borderId="110" xfId="0" applyFont="1" applyFill="1" applyBorder="1" applyAlignment="1" applyProtection="1">
      <alignment vertical="center" shrinkToFit="1"/>
      <protection locked="0"/>
    </xf>
    <xf numFmtId="0" fontId="3" fillId="0" borderId="112" xfId="0" applyFont="1" applyFill="1" applyBorder="1" applyAlignment="1" applyProtection="1">
      <alignment vertical="center" shrinkToFit="1"/>
      <protection locked="0"/>
    </xf>
    <xf numFmtId="0" fontId="3" fillId="0" borderId="115" xfId="0" applyFont="1" applyFill="1" applyBorder="1" applyAlignment="1" applyProtection="1">
      <alignment vertical="center" shrinkToFit="1"/>
      <protection locked="0"/>
    </xf>
    <xf numFmtId="0" fontId="3" fillId="0" borderId="117" xfId="0" applyFont="1" applyFill="1" applyBorder="1" applyAlignment="1" applyProtection="1">
      <alignment vertical="center" shrinkToFit="1"/>
      <protection locked="0"/>
    </xf>
    <xf numFmtId="0" fontId="8" fillId="0" borderId="196" xfId="0" applyFont="1" applyFill="1" applyBorder="1" applyAlignment="1">
      <alignment horizontal="center" vertical="center"/>
    </xf>
    <xf numFmtId="0" fontId="8" fillId="0" borderId="77" xfId="0" applyFont="1" applyFill="1" applyBorder="1" applyAlignment="1">
      <alignment horizontal="center" vertical="center"/>
    </xf>
    <xf numFmtId="0" fontId="0" fillId="0" borderId="63" xfId="0" applyFont="1" applyFill="1" applyBorder="1" applyAlignment="1" applyProtection="1">
      <alignment horizontal="center" vertical="center"/>
      <protection locked="0"/>
    </xf>
    <xf numFmtId="0" fontId="0" fillId="0" borderId="135" xfId="0" applyFont="1" applyFill="1" applyBorder="1" applyAlignment="1" applyProtection="1">
      <alignment horizontal="center" vertical="center"/>
      <protection locked="0"/>
    </xf>
    <xf numFmtId="49" fontId="3" fillId="0" borderId="118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centerContinuous" vertical="center"/>
    </xf>
    <xf numFmtId="0" fontId="3" fillId="37" borderId="112" xfId="0" applyFont="1" applyFill="1" applyBorder="1" applyAlignment="1" applyProtection="1">
      <alignment vertical="center"/>
      <protection locked="0"/>
    </xf>
    <xf numFmtId="0" fontId="3" fillId="0" borderId="118" xfId="0" applyNumberFormat="1" applyFont="1" applyFill="1" applyBorder="1" applyAlignment="1" applyProtection="1">
      <alignment horizontal="left" vertical="center"/>
      <protection locked="0"/>
    </xf>
    <xf numFmtId="0" fontId="3" fillId="0" borderId="197" xfId="0" applyFont="1" applyFill="1" applyBorder="1" applyAlignment="1">
      <alignment horizontal="center" vertical="center"/>
    </xf>
    <xf numFmtId="0" fontId="3" fillId="0" borderId="198" xfId="0" applyFont="1" applyFill="1" applyBorder="1" applyAlignment="1">
      <alignment horizontal="center" vertical="center"/>
    </xf>
    <xf numFmtId="0" fontId="3" fillId="0" borderId="199" xfId="0" applyFont="1" applyFill="1" applyBorder="1" applyAlignment="1">
      <alignment horizontal="center" vertical="center"/>
    </xf>
    <xf numFmtId="0" fontId="3" fillId="0" borderId="200" xfId="0" applyFont="1" applyFill="1" applyBorder="1" applyAlignment="1">
      <alignment horizontal="center" vertical="center" shrinkToFit="1"/>
    </xf>
    <xf numFmtId="0" fontId="3" fillId="0" borderId="198" xfId="0" applyFont="1" applyFill="1" applyBorder="1" applyAlignment="1">
      <alignment horizontal="center" vertical="center" shrinkToFit="1"/>
    </xf>
    <xf numFmtId="0" fontId="3" fillId="0" borderId="199" xfId="0" applyFont="1" applyFill="1" applyBorder="1" applyAlignment="1">
      <alignment horizontal="center" vertical="center" shrinkToFit="1"/>
    </xf>
    <xf numFmtId="0" fontId="3" fillId="38" borderId="0" xfId="0" applyFont="1" applyFill="1" applyAlignment="1">
      <alignment vertical="center"/>
    </xf>
    <xf numFmtId="0" fontId="3" fillId="37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right" vertical="center"/>
    </xf>
    <xf numFmtId="0" fontId="4" fillId="39" borderId="10" xfId="0" applyFont="1" applyFill="1" applyBorder="1" applyAlignment="1">
      <alignment vertical="center"/>
    </xf>
    <xf numFmtId="0" fontId="3" fillId="37" borderId="110" xfId="0" applyFont="1" applyFill="1" applyBorder="1" applyAlignment="1" applyProtection="1">
      <alignment vertical="center"/>
      <protection locked="0"/>
    </xf>
    <xf numFmtId="0" fontId="33" fillId="0" borderId="196" xfId="0" applyFont="1" applyFill="1" applyBorder="1" applyAlignment="1">
      <alignment horizontal="centerContinuous" vertical="center"/>
    </xf>
    <xf numFmtId="0" fontId="33" fillId="0" borderId="121" xfId="0" applyFont="1" applyFill="1" applyBorder="1" applyAlignment="1">
      <alignment horizontal="centerContinuous" vertical="center"/>
    </xf>
    <xf numFmtId="1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201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21" fillId="0" borderId="202" xfId="60" applyFont="1" applyFill="1" applyBorder="1" applyAlignment="1">
      <alignment horizontal="center" vertical="center"/>
    </xf>
    <xf numFmtId="0" fontId="21" fillId="0" borderId="203" xfId="60" applyFont="1" applyFill="1" applyBorder="1" applyAlignment="1">
      <alignment horizontal="center" vertical="center"/>
    </xf>
    <xf numFmtId="183" fontId="3" fillId="0" borderId="183" xfId="0" applyNumberFormat="1" applyFont="1" applyFill="1" applyBorder="1" applyAlignment="1">
      <alignment horizontal="right" vertical="center" shrinkToFit="1"/>
    </xf>
    <xf numFmtId="183" fontId="3" fillId="0" borderId="10" xfId="0" applyNumberFormat="1" applyFont="1" applyFill="1" applyBorder="1" applyAlignment="1">
      <alignment horizontal="right" vertical="center" shrinkToFit="1"/>
    </xf>
    <xf numFmtId="0" fontId="3" fillId="0" borderId="204" xfId="0" applyFont="1" applyFill="1" applyBorder="1" applyAlignment="1">
      <alignment horizontal="center" vertical="center" shrinkToFit="1"/>
    </xf>
    <xf numFmtId="0" fontId="3" fillId="0" borderId="67" xfId="0" applyFont="1" applyFill="1" applyBorder="1" applyAlignment="1">
      <alignment horizontal="center" vertical="center" shrinkToFit="1"/>
    </xf>
    <xf numFmtId="0" fontId="3" fillId="0" borderId="167" xfId="0" applyFont="1" applyFill="1" applyBorder="1" applyAlignment="1">
      <alignment horizontal="center" vertical="center" shrinkToFit="1"/>
    </xf>
    <xf numFmtId="183" fontId="3" fillId="0" borderId="185" xfId="0" applyNumberFormat="1" applyFont="1" applyFill="1" applyBorder="1" applyAlignment="1">
      <alignment horizontal="right" vertical="center" shrinkToFit="1"/>
    </xf>
    <xf numFmtId="183" fontId="3" fillId="0" borderId="81" xfId="0" applyNumberFormat="1" applyFont="1" applyFill="1" applyBorder="1" applyAlignment="1">
      <alignment horizontal="right" vertical="center" shrinkToFit="1"/>
    </xf>
    <xf numFmtId="183" fontId="3" fillId="0" borderId="205" xfId="0" applyNumberFormat="1" applyFont="1" applyFill="1" applyBorder="1" applyAlignment="1">
      <alignment horizontal="right" vertical="center" shrinkToFit="1"/>
    </xf>
    <xf numFmtId="183" fontId="3" fillId="0" borderId="206" xfId="0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horizontal="center" vertical="center"/>
    </xf>
    <xf numFmtId="58" fontId="23" fillId="0" borderId="0" xfId="0" applyNumberFormat="1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8" fillId="0" borderId="204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167" xfId="0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right" vertical="center" shrinkToFit="1"/>
    </xf>
    <xf numFmtId="182" fontId="3" fillId="0" borderId="206" xfId="0" applyNumberFormat="1" applyFont="1" applyFill="1" applyBorder="1" applyAlignment="1">
      <alignment horizontal="right" vertical="center" shrinkToFit="1"/>
    </xf>
    <xf numFmtId="0" fontId="3" fillId="0" borderId="206" xfId="0" applyFont="1" applyFill="1" applyBorder="1" applyAlignment="1">
      <alignment horizontal="left" vertical="center" shrinkToFit="1"/>
    </xf>
    <xf numFmtId="0" fontId="3" fillId="0" borderId="175" xfId="0" applyFont="1" applyFill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3" fillId="0" borderId="176" xfId="0" applyFont="1" applyFill="1" applyBorder="1" applyAlignment="1">
      <alignment horizontal="left" vertical="center" shrinkToFit="1"/>
    </xf>
    <xf numFmtId="182" fontId="3" fillId="0" borderId="81" xfId="0" applyNumberFormat="1" applyFont="1" applyFill="1" applyBorder="1" applyAlignment="1">
      <alignment horizontal="right" vertical="center" shrinkToFit="1"/>
    </xf>
    <xf numFmtId="0" fontId="3" fillId="0" borderId="81" xfId="0" applyFont="1" applyFill="1" applyBorder="1" applyAlignment="1">
      <alignment horizontal="left" vertical="center" shrinkToFit="1"/>
    </xf>
    <xf numFmtId="0" fontId="3" fillId="0" borderId="182" xfId="0" applyFont="1" applyFill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006冊子用" xfId="60"/>
    <cellStyle name="良い" xfId="61"/>
  </cellStyles>
  <dxfs count="3">
    <dxf>
      <fill>
        <patternFill>
          <fgColor indexed="10"/>
        </patternFill>
      </fill>
    </dxf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H185"/>
  <sheetViews>
    <sheetView zoomScaleSheetLayoutView="100" zoomScalePageLayoutView="0" workbookViewId="0" topLeftCell="A12">
      <selection activeCell="D35" sqref="D35"/>
    </sheetView>
  </sheetViews>
  <sheetFormatPr defaultColWidth="7.875" defaultRowHeight="13.5"/>
  <cols>
    <col min="1" max="1" width="1.12109375" style="2" customWidth="1" collapsed="1"/>
    <col min="2" max="2" width="2.625" style="2" customWidth="1" collapsed="1"/>
    <col min="3" max="3" width="6.625" style="3" customWidth="1"/>
    <col min="4" max="4" width="6.125" style="2" customWidth="1"/>
    <col min="5" max="5" width="2.625" style="2" customWidth="1"/>
    <col min="6" max="6" width="25.75390625" style="2" hidden="1" customWidth="1"/>
    <col min="7" max="7" width="5.50390625" style="29" customWidth="1"/>
    <col min="8" max="17" width="6.25390625" style="2" customWidth="1"/>
    <col min="18" max="18" width="5.50390625" style="24" customWidth="1" collapsed="1"/>
    <col min="19" max="19" width="7.875" style="2" customWidth="1"/>
    <col min="20" max="20" width="5.50390625" style="24" customWidth="1"/>
    <col min="21" max="26" width="7.875" style="4" customWidth="1"/>
    <col min="27" max="27" width="5.375" style="4" customWidth="1"/>
    <col min="28" max="30" width="5.625" style="26" customWidth="1"/>
    <col min="31" max="32" width="7.875" style="4" customWidth="1"/>
    <col min="33" max="16384" width="7.875" style="2" customWidth="1"/>
  </cols>
  <sheetData>
    <row r="1" ht="12"/>
    <row r="2" spans="2:6" ht="14.25" customHeight="1">
      <c r="B2" s="139" t="s">
        <v>0</v>
      </c>
      <c r="C2" s="138" t="s">
        <v>1</v>
      </c>
      <c r="D2" s="139"/>
      <c r="E2" s="139"/>
      <c r="F2" s="139"/>
    </row>
    <row r="3" spans="2:6" ht="14.25" customHeight="1">
      <c r="B3" s="139"/>
      <c r="C3" s="138" t="s">
        <v>2</v>
      </c>
      <c r="D3" s="139"/>
      <c r="E3" s="139"/>
      <c r="F3" s="139"/>
    </row>
    <row r="4" spans="2:6" ht="14.25" customHeight="1">
      <c r="B4" s="139" t="s">
        <v>3</v>
      </c>
      <c r="C4" s="138" t="s">
        <v>4</v>
      </c>
      <c r="D4" s="139"/>
      <c r="E4" s="139"/>
      <c r="F4" s="139"/>
    </row>
    <row r="5" spans="2:6" ht="14.25" customHeight="1">
      <c r="B5" s="139" t="s">
        <v>5</v>
      </c>
      <c r="C5" s="138" t="s">
        <v>6</v>
      </c>
      <c r="D5" s="139"/>
      <c r="E5" s="139"/>
      <c r="F5" s="139"/>
    </row>
    <row r="6" spans="2:6" ht="14.25" customHeight="1">
      <c r="B6" s="139"/>
      <c r="C6" s="140" t="s">
        <v>7</v>
      </c>
      <c r="D6" s="139"/>
      <c r="E6" s="139"/>
      <c r="F6" s="139"/>
    </row>
    <row r="7" spans="2:6" ht="14.25" customHeight="1">
      <c r="B7" s="139" t="s">
        <v>8</v>
      </c>
      <c r="C7" s="138" t="s">
        <v>9</v>
      </c>
      <c r="D7" s="139"/>
      <c r="E7" s="139"/>
      <c r="F7" s="139"/>
    </row>
    <row r="8" spans="2:6" ht="14.25" customHeight="1">
      <c r="B8" s="139"/>
      <c r="C8" s="138"/>
      <c r="D8" s="139"/>
      <c r="E8" s="139"/>
      <c r="F8" s="139"/>
    </row>
    <row r="9" spans="2:6" ht="14.25" customHeight="1">
      <c r="B9" s="139"/>
      <c r="C9" s="138"/>
      <c r="D9" s="139"/>
      <c r="E9" s="139"/>
      <c r="F9" s="139"/>
    </row>
    <row r="10" spans="2:6" ht="14.25" customHeight="1">
      <c r="B10" s="139"/>
      <c r="C10" s="138"/>
      <c r="D10" s="139"/>
      <c r="E10" s="139"/>
      <c r="F10" s="139"/>
    </row>
    <row r="11" spans="2:6" ht="14.25" customHeight="1">
      <c r="B11" s="139"/>
      <c r="C11" s="138"/>
      <c r="D11" s="139"/>
      <c r="E11" s="139"/>
      <c r="F11" s="139"/>
    </row>
    <row r="12" spans="2:17" ht="14.25" customHeight="1">
      <c r="B12" s="398" t="s">
        <v>10</v>
      </c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</row>
    <row r="13" spans="4:17" ht="12" customHeight="1">
      <c r="D13" s="3"/>
      <c r="E13" s="3"/>
      <c r="F13" s="136"/>
      <c r="G13" s="217" t="s">
        <v>11</v>
      </c>
      <c r="O13" s="397">
        <v>42484</v>
      </c>
      <c r="P13" s="397"/>
      <c r="Q13" s="199"/>
    </row>
    <row r="14" ht="12" customHeight="1">
      <c r="G14" s="218" t="s">
        <v>12</v>
      </c>
    </row>
    <row r="15" spans="2:34" ht="12" customHeight="1">
      <c r="B15" s="200" t="s">
        <v>13</v>
      </c>
      <c r="C15" s="200" t="s">
        <v>14</v>
      </c>
      <c r="D15" s="201" t="s">
        <v>15</v>
      </c>
      <c r="E15" s="47"/>
      <c r="F15" s="202"/>
      <c r="G15" s="219" t="s">
        <v>16</v>
      </c>
      <c r="H15" s="203">
        <v>1</v>
      </c>
      <c r="I15" s="203"/>
      <c r="J15" s="203">
        <v>2</v>
      </c>
      <c r="K15" s="203"/>
      <c r="L15" s="203">
        <v>3</v>
      </c>
      <c r="M15" s="203"/>
      <c r="N15" s="203">
        <v>4</v>
      </c>
      <c r="O15" s="203"/>
      <c r="P15" s="203">
        <v>5</v>
      </c>
      <c r="Q15" s="203"/>
      <c r="S15" s="2" t="s">
        <v>17</v>
      </c>
      <c r="AA15" s="26"/>
      <c r="AE15" s="26"/>
      <c r="AF15" s="26"/>
      <c r="AH15" s="27"/>
    </row>
    <row r="16" spans="2:34" ht="12" customHeight="1">
      <c r="B16" s="204">
        <v>1</v>
      </c>
      <c r="C16" s="378" t="str">
        <f>T16</f>
        <v>兵庫</v>
      </c>
      <c r="D16" s="378" t="str">
        <f>U16</f>
        <v>HRC</v>
      </c>
      <c r="E16" s="207"/>
      <c r="F16" s="369"/>
      <c r="G16" s="220" t="s">
        <v>18</v>
      </c>
      <c r="H16" s="209" t="str">
        <f aca="true" t="shared" si="0" ref="H16:Q16">ASC(PHONETIC(H17))</f>
        <v>ﾀｶｷﾞ</v>
      </c>
      <c r="I16" s="210" t="str">
        <f t="shared" si="0"/>
        <v>ﾄｼﾕｷ</v>
      </c>
      <c r="J16" s="209" t="str">
        <f t="shared" si="0"/>
        <v>ﾄﾞｳｿﾞﾉ</v>
      </c>
      <c r="K16" s="210" t="str">
        <f t="shared" si="0"/>
        <v>ﾏｻﾔ</v>
      </c>
      <c r="L16" s="209" t="str">
        <f t="shared" si="0"/>
        <v>ﾓﾘ</v>
      </c>
      <c r="M16" s="380" t="s">
        <v>387</v>
      </c>
      <c r="N16" s="394" t="s">
        <v>384</v>
      </c>
      <c r="O16" s="210" t="str">
        <f t="shared" si="0"/>
        <v>ﾕｳｲﾁﾛｳ</v>
      </c>
      <c r="P16" s="209" t="str">
        <f t="shared" si="0"/>
        <v>ﾋﾗｲ</v>
      </c>
      <c r="Q16" s="210" t="str">
        <f t="shared" si="0"/>
        <v>ｺｳｼ</v>
      </c>
      <c r="R16" s="25"/>
      <c r="S16" s="393">
        <v>1</v>
      </c>
      <c r="T16" s="391" t="s">
        <v>259</v>
      </c>
      <c r="U16" s="390" t="s">
        <v>260</v>
      </c>
      <c r="AA16" s="24"/>
      <c r="AE16" s="26"/>
      <c r="AF16" s="26"/>
      <c r="AG16" s="27"/>
      <c r="AH16" s="27"/>
    </row>
    <row r="17" spans="2:34" ht="12" customHeight="1">
      <c r="B17" s="221">
        <f>B16</f>
        <v>1</v>
      </c>
      <c r="C17" s="211" t="str">
        <f>C16</f>
        <v>兵庫</v>
      </c>
      <c r="D17" s="211" t="str">
        <f>D16</f>
        <v>HRC</v>
      </c>
      <c r="E17" s="213"/>
      <c r="F17" s="214"/>
      <c r="G17" s="222" t="s">
        <v>19</v>
      </c>
      <c r="H17" s="215" t="s">
        <v>376</v>
      </c>
      <c r="I17" s="216" t="s">
        <v>377</v>
      </c>
      <c r="J17" s="215" t="s">
        <v>378</v>
      </c>
      <c r="K17" s="216" t="s">
        <v>379</v>
      </c>
      <c r="L17" s="215" t="s">
        <v>380</v>
      </c>
      <c r="M17" s="216" t="s">
        <v>381</v>
      </c>
      <c r="N17" s="215" t="s">
        <v>382</v>
      </c>
      <c r="O17" s="216" t="s">
        <v>383</v>
      </c>
      <c r="P17" s="215" t="s">
        <v>385</v>
      </c>
      <c r="Q17" s="216" t="s">
        <v>386</v>
      </c>
      <c r="R17" s="25"/>
      <c r="S17" s="393">
        <v>2</v>
      </c>
      <c r="T17" s="391" t="s">
        <v>261</v>
      </c>
      <c r="U17" s="390" t="s">
        <v>262</v>
      </c>
      <c r="AA17" s="24"/>
      <c r="AE17" s="26"/>
      <c r="AF17" s="26"/>
      <c r="AG17" s="27"/>
      <c r="AH17" s="27"/>
    </row>
    <row r="18" spans="2:34" ht="12" customHeight="1">
      <c r="B18" s="204">
        <v>2</v>
      </c>
      <c r="C18" s="378" t="str">
        <f>T17</f>
        <v>愛知</v>
      </c>
      <c r="D18" s="378" t="str">
        <f>U17</f>
        <v>ARC</v>
      </c>
      <c r="E18" s="207"/>
      <c r="F18" s="369"/>
      <c r="G18" s="220" t="s">
        <v>18</v>
      </c>
      <c r="H18" s="209" t="str">
        <f>ASC(PHONETIC(H19))</f>
        <v>ｵｶﾞﾜ</v>
      </c>
      <c r="I18" s="210" t="s">
        <v>390</v>
      </c>
      <c r="J18" s="209" t="str">
        <f>ASC(PHONETIC(J19))</f>
        <v>ｻｸﾗｲ</v>
      </c>
      <c r="K18" s="210" t="str">
        <f>ASC(PHONETIC(K19))</f>
        <v>ﾀｶﾕｷ</v>
      </c>
      <c r="L18" s="209" t="str">
        <f>ASC(PHONETIC(L19))</f>
        <v>ﾉﾀﾞ</v>
      </c>
      <c r="M18" s="380" t="s">
        <v>335</v>
      </c>
      <c r="N18" s="209" t="str">
        <f>ASC(PHONETIC(N19))</f>
        <v>ｺﾝﾄﾞｳ</v>
      </c>
      <c r="O18" s="210" t="str">
        <f>ASC(PHONETIC(O19))</f>
        <v>ﾄﾓﾔｽ</v>
      </c>
      <c r="P18" s="209" t="str">
        <f>ASC(PHONETIC(P19))</f>
        <v>ｼﾏﾀﾞ</v>
      </c>
      <c r="Q18" s="380" t="s">
        <v>324</v>
      </c>
      <c r="R18" s="25"/>
      <c r="S18" s="393">
        <v>3</v>
      </c>
      <c r="T18" s="391" t="s">
        <v>263</v>
      </c>
      <c r="U18" s="390" t="s">
        <v>264</v>
      </c>
      <c r="AA18" s="24"/>
      <c r="AE18" s="26"/>
      <c r="AF18" s="26"/>
      <c r="AG18" s="27"/>
      <c r="AH18" s="27"/>
    </row>
    <row r="19" spans="2:32" ht="12" customHeight="1">
      <c r="B19" s="221">
        <f>B18</f>
        <v>2</v>
      </c>
      <c r="C19" s="211" t="str">
        <f>C18</f>
        <v>愛知</v>
      </c>
      <c r="D19" s="211" t="str">
        <f>D18</f>
        <v>ARC</v>
      </c>
      <c r="E19" s="213"/>
      <c r="F19" s="214"/>
      <c r="G19" s="222" t="s">
        <v>19</v>
      </c>
      <c r="H19" s="372" t="s">
        <v>315</v>
      </c>
      <c r="I19" s="373" t="s">
        <v>316</v>
      </c>
      <c r="J19" s="372" t="s">
        <v>317</v>
      </c>
      <c r="K19" s="373" t="s">
        <v>318</v>
      </c>
      <c r="L19" s="372" t="s">
        <v>319</v>
      </c>
      <c r="M19" s="373" t="s">
        <v>334</v>
      </c>
      <c r="N19" s="372" t="s">
        <v>320</v>
      </c>
      <c r="O19" s="373" t="s">
        <v>321</v>
      </c>
      <c r="P19" s="372" t="s">
        <v>322</v>
      </c>
      <c r="Q19" s="373" t="s">
        <v>323</v>
      </c>
      <c r="R19" s="25"/>
      <c r="S19" s="393">
        <v>4</v>
      </c>
      <c r="T19" s="391" t="s">
        <v>353</v>
      </c>
      <c r="U19" s="390" t="s">
        <v>355</v>
      </c>
      <c r="AE19" s="26"/>
      <c r="AF19" s="26"/>
    </row>
    <row r="20" spans="2:32" ht="12" customHeight="1">
      <c r="B20" s="204">
        <v>3</v>
      </c>
      <c r="C20" s="378" t="str">
        <f>T18</f>
        <v>京都</v>
      </c>
      <c r="D20" s="378" t="str">
        <f>U18</f>
        <v>KRC</v>
      </c>
      <c r="E20" s="207"/>
      <c r="F20" s="369"/>
      <c r="G20" s="220" t="s">
        <v>18</v>
      </c>
      <c r="H20" s="209" t="str">
        <f aca="true" t="shared" si="1" ref="H20:P20">ASC(PHONETIC(H21))</f>
        <v>ｲﾏﾑﾗ</v>
      </c>
      <c r="I20" s="210" t="str">
        <f t="shared" si="1"/>
        <v>ﾃﾂﾔ</v>
      </c>
      <c r="J20" s="394" t="s">
        <v>367</v>
      </c>
      <c r="K20" s="210" t="str">
        <f t="shared" si="1"/>
        <v>ﾕｳｼﾞ</v>
      </c>
      <c r="L20" s="209" t="str">
        <f t="shared" si="1"/>
        <v>ｻﾄｳ</v>
      </c>
      <c r="M20" s="210" t="str">
        <f t="shared" si="1"/>
        <v>ﾕｳｺﾞ</v>
      </c>
      <c r="N20" s="209" t="str">
        <f t="shared" si="1"/>
        <v>ｶﾄｳ</v>
      </c>
      <c r="O20" s="210" t="str">
        <f t="shared" si="1"/>
        <v>ｼｭｳﾏﾝ</v>
      </c>
      <c r="P20" s="209" t="str">
        <f t="shared" si="1"/>
        <v>ﾔﾏｼﾀ</v>
      </c>
      <c r="Q20" s="380" t="s">
        <v>375</v>
      </c>
      <c r="R20" s="25"/>
      <c r="S20" s="393">
        <v>5</v>
      </c>
      <c r="T20" s="391" t="s">
        <v>265</v>
      </c>
      <c r="U20" s="390" t="s">
        <v>266</v>
      </c>
      <c r="AE20" s="26"/>
      <c r="AF20" s="26"/>
    </row>
    <row r="21" spans="2:32" ht="12" customHeight="1">
      <c r="B21" s="221">
        <f>B20</f>
        <v>3</v>
      </c>
      <c r="C21" s="211" t="str">
        <f>C20</f>
        <v>京都</v>
      </c>
      <c r="D21" s="211" t="str">
        <f>D20</f>
        <v>KRC</v>
      </c>
      <c r="E21" s="213"/>
      <c r="F21" s="214"/>
      <c r="G21" s="222" t="s">
        <v>19</v>
      </c>
      <c r="H21" s="215" t="s">
        <v>364</v>
      </c>
      <c r="I21" s="216" t="s">
        <v>365</v>
      </c>
      <c r="J21" s="215" t="s">
        <v>366</v>
      </c>
      <c r="K21" s="216" t="s">
        <v>368</v>
      </c>
      <c r="L21" s="215" t="s">
        <v>369</v>
      </c>
      <c r="M21" s="216" t="s">
        <v>370</v>
      </c>
      <c r="N21" s="215" t="s">
        <v>371</v>
      </c>
      <c r="O21" s="216" t="s">
        <v>372</v>
      </c>
      <c r="P21" s="215" t="s">
        <v>373</v>
      </c>
      <c r="Q21" s="216" t="s">
        <v>374</v>
      </c>
      <c r="R21" s="25"/>
      <c r="S21" s="393">
        <v>6</v>
      </c>
      <c r="T21" s="391" t="s">
        <v>267</v>
      </c>
      <c r="U21" s="390" t="s">
        <v>268</v>
      </c>
      <c r="AE21" s="26"/>
      <c r="AF21" s="26"/>
    </row>
    <row r="22" spans="2:32" ht="12" customHeight="1">
      <c r="B22" s="204">
        <v>4</v>
      </c>
      <c r="C22" s="378" t="str">
        <f>T19</f>
        <v>大阪A</v>
      </c>
      <c r="D22" s="378" t="str">
        <f>U19</f>
        <v>ORC-A</v>
      </c>
      <c r="E22" s="207"/>
      <c r="F22" s="369"/>
      <c r="G22" s="220" t="s">
        <v>18</v>
      </c>
      <c r="H22" s="209" t="str">
        <f>ASC(PHONETIC(H23))</f>
        <v>ﾑﾗｶﾐ</v>
      </c>
      <c r="I22" s="380" t="s">
        <v>338</v>
      </c>
      <c r="J22" s="209" t="str">
        <f>ASC(PHONETIC(J23))</f>
        <v>ﾔﾏｵｶ</v>
      </c>
      <c r="K22" s="210" t="str">
        <f>ASC(PHONETIC(K23))</f>
        <v>ｼｭｳｼﾞ</v>
      </c>
      <c r="L22" s="209" t="str">
        <f>ASC(PHONETIC(L23))</f>
        <v>ﾖｼｵｶ</v>
      </c>
      <c r="M22" s="380" t="s">
        <v>343</v>
      </c>
      <c r="N22" s="209" t="str">
        <f>ASC(PHONETIC(N23))</f>
        <v>ｲﾇｲ</v>
      </c>
      <c r="O22" s="210" t="str">
        <f>ASC(PHONETIC(O23))</f>
        <v>ﾉﾌﾞﾂﾅ</v>
      </c>
      <c r="P22" s="209" t="str">
        <f>ASC(PHONETIC(P23))</f>
        <v>ﾔﾏﾀﾞ</v>
      </c>
      <c r="Q22" s="380" t="s">
        <v>347</v>
      </c>
      <c r="R22" s="25"/>
      <c r="S22" s="393">
        <v>7</v>
      </c>
      <c r="T22" s="391" t="s">
        <v>269</v>
      </c>
      <c r="U22" s="390" t="s">
        <v>270</v>
      </c>
      <c r="AE22" s="26"/>
      <c r="AF22" s="26"/>
    </row>
    <row r="23" spans="2:32" ht="12" customHeight="1">
      <c r="B23" s="221">
        <f>B22</f>
        <v>4</v>
      </c>
      <c r="C23" s="211" t="str">
        <f>C22</f>
        <v>大阪A</v>
      </c>
      <c r="D23" s="211" t="str">
        <f>D22</f>
        <v>ORC-A</v>
      </c>
      <c r="E23" s="213"/>
      <c r="F23" s="214"/>
      <c r="G23" s="222" t="s">
        <v>19</v>
      </c>
      <c r="H23" s="215" t="s">
        <v>336</v>
      </c>
      <c r="I23" s="216" t="s">
        <v>337</v>
      </c>
      <c r="J23" s="215" t="s">
        <v>339</v>
      </c>
      <c r="K23" s="216" t="s">
        <v>340</v>
      </c>
      <c r="L23" s="215" t="s">
        <v>341</v>
      </c>
      <c r="M23" s="216" t="s">
        <v>342</v>
      </c>
      <c r="N23" s="215" t="s">
        <v>344</v>
      </c>
      <c r="O23" s="216" t="s">
        <v>345</v>
      </c>
      <c r="P23" s="215" t="s">
        <v>282</v>
      </c>
      <c r="Q23" s="216" t="s">
        <v>346</v>
      </c>
      <c r="R23" s="25"/>
      <c r="S23" s="393">
        <v>8</v>
      </c>
      <c r="T23" s="391" t="s">
        <v>271</v>
      </c>
      <c r="U23" s="390" t="s">
        <v>272</v>
      </c>
      <c r="AE23" s="26"/>
      <c r="AF23" s="26"/>
    </row>
    <row r="24" spans="2:32" ht="12" customHeight="1">
      <c r="B24" s="204">
        <v>5</v>
      </c>
      <c r="C24" s="378" t="str">
        <f>T20</f>
        <v>和歌山</v>
      </c>
      <c r="D24" s="378" t="str">
        <f>U20</f>
        <v>WRC</v>
      </c>
      <c r="E24" s="207"/>
      <c r="F24" s="208"/>
      <c r="G24" s="220" t="s">
        <v>18</v>
      </c>
      <c r="H24" s="209" t="str">
        <f aca="true" t="shared" si="2" ref="H24:N24">ASC(PHONETIC(H25))</f>
        <v>ｷｼｶﾞﾐ</v>
      </c>
      <c r="I24" s="210" t="str">
        <f t="shared" si="2"/>
        <v>ｹﾝｲﾁ</v>
      </c>
      <c r="J24" s="209" t="str">
        <f t="shared" si="2"/>
        <v>ｽｴｵｶ</v>
      </c>
      <c r="K24" s="210" t="str">
        <f t="shared" si="2"/>
        <v>ｵｻﾑ</v>
      </c>
      <c r="L24" s="209" t="str">
        <f t="shared" si="2"/>
        <v>ｽｷﾞﾓﾄ</v>
      </c>
      <c r="M24" s="210" t="str">
        <f t="shared" si="2"/>
        <v>ﾋﾛｱｷ</v>
      </c>
      <c r="N24" s="209" t="str">
        <f t="shared" si="2"/>
        <v>ﾀﾝｼﾞ</v>
      </c>
      <c r="O24" s="380" t="s">
        <v>304</v>
      </c>
      <c r="P24" s="209" t="str">
        <f>ASC(PHONETIC(P25))</f>
        <v>ﾜﾀﾞ</v>
      </c>
      <c r="Q24" s="210" t="str">
        <f>ASC(PHONETIC(Q25))</f>
        <v>ｿｳｲﾁﾛｳ</v>
      </c>
      <c r="R24" s="25"/>
      <c r="S24" s="393">
        <v>9</v>
      </c>
      <c r="T24" s="391" t="s">
        <v>273</v>
      </c>
      <c r="U24" s="390" t="s">
        <v>25</v>
      </c>
      <c r="AE24" s="26"/>
      <c r="AF24" s="26"/>
    </row>
    <row r="25" spans="2:32" ht="12" customHeight="1">
      <c r="B25" s="221">
        <f>B24</f>
        <v>5</v>
      </c>
      <c r="C25" s="211" t="str">
        <f>C24</f>
        <v>和歌山</v>
      </c>
      <c r="D25" s="211" t="str">
        <f>D24</f>
        <v>WRC</v>
      </c>
      <c r="E25" s="213"/>
      <c r="F25" s="214"/>
      <c r="G25" s="222" t="s">
        <v>19</v>
      </c>
      <c r="H25" s="215" t="s">
        <v>294</v>
      </c>
      <c r="I25" s="216" t="s">
        <v>295</v>
      </c>
      <c r="J25" s="215" t="s">
        <v>296</v>
      </c>
      <c r="K25" s="216" t="s">
        <v>297</v>
      </c>
      <c r="L25" s="215" t="s">
        <v>298</v>
      </c>
      <c r="M25" s="216" t="s">
        <v>299</v>
      </c>
      <c r="N25" s="215" t="s">
        <v>300</v>
      </c>
      <c r="O25" s="216" t="s">
        <v>301</v>
      </c>
      <c r="P25" s="215" t="s">
        <v>302</v>
      </c>
      <c r="Q25" s="216" t="s">
        <v>303</v>
      </c>
      <c r="R25" s="25"/>
      <c r="S25" s="393">
        <v>10</v>
      </c>
      <c r="T25" s="391" t="s">
        <v>352</v>
      </c>
      <c r="U25" s="390" t="s">
        <v>354</v>
      </c>
      <c r="AE25" s="26"/>
      <c r="AF25" s="26"/>
    </row>
    <row r="26" spans="2:32" ht="12" customHeight="1">
      <c r="B26" s="204">
        <v>6</v>
      </c>
      <c r="C26" s="378" t="str">
        <f>T21</f>
        <v>滋賀</v>
      </c>
      <c r="D26" s="378" t="str">
        <f>U21</f>
        <v>SBC</v>
      </c>
      <c r="E26" s="207"/>
      <c r="F26" s="208"/>
      <c r="G26" s="220" t="s">
        <v>18</v>
      </c>
      <c r="H26" s="209" t="str">
        <f>ASC(PHONETIC(H27))</f>
        <v>ｻｶｲ</v>
      </c>
      <c r="I26" s="210" t="str">
        <f>ASC(PHONETIC(I27))</f>
        <v>ﾐｷ</v>
      </c>
      <c r="J26" s="209" t="str">
        <f>ASC(PHONETIC(J27))</f>
        <v>ｵｵﾊｼ</v>
      </c>
      <c r="K26" s="210" t="str">
        <f>ASC(PHONETIC(K27))</f>
        <v>ﾖｼﾊﾙ</v>
      </c>
      <c r="L26" s="209" t="str">
        <f>ASC(PHONETIC(L27))</f>
        <v>ﾆｼﾐﾈ</v>
      </c>
      <c r="M26" s="380" t="s">
        <v>290</v>
      </c>
      <c r="N26" s="209" t="str">
        <f>ASC(PHONETIC(N27))</f>
        <v>ﾅｶﾞﾀ</v>
      </c>
      <c r="O26" s="210" t="str">
        <f>ASC(PHONETIC(O27))</f>
        <v>ﾄﾓﾉﾘ</v>
      </c>
      <c r="P26" s="209" t="str">
        <f>ASC(PHONETIC(P27))</f>
        <v>ｵｵﾊｼ</v>
      </c>
      <c r="Q26" s="210" t="str">
        <f>ASC(PHONETIC(Q27))</f>
        <v>ﾏｻﾋﾛ</v>
      </c>
      <c r="R26" s="25"/>
      <c r="S26" s="393"/>
      <c r="T26" s="392"/>
      <c r="U26" s="390"/>
      <c r="AE26" s="26"/>
      <c r="AF26" s="26"/>
    </row>
    <row r="27" spans="2:32" ht="12" customHeight="1">
      <c r="B27" s="221">
        <f>B26</f>
        <v>6</v>
      </c>
      <c r="C27" s="211" t="str">
        <f>C26</f>
        <v>滋賀</v>
      </c>
      <c r="D27" s="211" t="str">
        <f>D26</f>
        <v>SBC</v>
      </c>
      <c r="E27" s="213"/>
      <c r="F27" s="214"/>
      <c r="G27" s="222" t="s">
        <v>19</v>
      </c>
      <c r="H27" s="215" t="s">
        <v>284</v>
      </c>
      <c r="I27" s="216" t="s">
        <v>285</v>
      </c>
      <c r="J27" s="215" t="s">
        <v>286</v>
      </c>
      <c r="K27" s="216" t="s">
        <v>287</v>
      </c>
      <c r="L27" s="215" t="s">
        <v>288</v>
      </c>
      <c r="M27" s="216" t="s">
        <v>289</v>
      </c>
      <c r="N27" s="215" t="s">
        <v>291</v>
      </c>
      <c r="O27" s="216" t="s">
        <v>292</v>
      </c>
      <c r="P27" s="215" t="s">
        <v>286</v>
      </c>
      <c r="Q27" s="216" t="s">
        <v>293</v>
      </c>
      <c r="R27" s="25"/>
      <c r="S27" s="4"/>
      <c r="T27" s="25"/>
      <c r="AE27" s="26"/>
      <c r="AF27" s="26"/>
    </row>
    <row r="28" spans="2:32" ht="12" customHeight="1">
      <c r="B28" s="204">
        <v>7</v>
      </c>
      <c r="C28" s="378" t="str">
        <f>T22</f>
        <v>奈良</v>
      </c>
      <c r="D28" s="378" t="str">
        <f>U22</f>
        <v>NRC</v>
      </c>
      <c r="E28" s="207"/>
      <c r="F28" s="208"/>
      <c r="G28" s="220" t="s">
        <v>18</v>
      </c>
      <c r="H28" s="209" t="str">
        <f>ASC(PHONETIC(H29))</f>
        <v>ｲﾜﾓﾄ</v>
      </c>
      <c r="I28" s="210" t="str">
        <f>ASC(PHONETIC(I29))</f>
        <v>ﾂﾖｼ</v>
      </c>
      <c r="J28" s="209" t="str">
        <f>ASC(PHONETIC(J29))</f>
        <v>ﾐｽﾞﾀ</v>
      </c>
      <c r="K28" s="380" t="s">
        <v>351</v>
      </c>
      <c r="L28" s="209" t="str">
        <f aca="true" t="shared" si="3" ref="L28:Q28">ASC(PHONETIC(L29))</f>
        <v>ﾊｾｶﾞﾜ</v>
      </c>
      <c r="M28" s="210" t="str">
        <f t="shared" si="3"/>
        <v>ｽｽﾑ</v>
      </c>
      <c r="N28" s="209" t="str">
        <f t="shared" si="3"/>
        <v>ｳｴﾀﾞ</v>
      </c>
      <c r="O28" s="210" t="str">
        <f t="shared" si="3"/>
        <v>ｼﾝﾔ</v>
      </c>
      <c r="P28" s="209" t="str">
        <f t="shared" si="3"/>
        <v>ﾔﾏﾀﾞ</v>
      </c>
      <c r="Q28" s="210" t="str">
        <f t="shared" si="3"/>
        <v>ｺｳｼﾞ</v>
      </c>
      <c r="R28" s="25"/>
      <c r="T28" s="25"/>
      <c r="AE28" s="26"/>
      <c r="AF28" s="26"/>
    </row>
    <row r="29" spans="2:32" ht="12" customHeight="1">
      <c r="B29" s="221">
        <f>B28</f>
        <v>7</v>
      </c>
      <c r="C29" s="211" t="str">
        <f>C28</f>
        <v>奈良</v>
      </c>
      <c r="D29" s="211" t="str">
        <f>D28</f>
        <v>NRC</v>
      </c>
      <c r="E29" s="213"/>
      <c r="F29" s="214"/>
      <c r="G29" s="222" t="s">
        <v>19</v>
      </c>
      <c r="H29" s="215" t="s">
        <v>274</v>
      </c>
      <c r="I29" s="216" t="s">
        <v>275</v>
      </c>
      <c r="J29" s="215" t="s">
        <v>276</v>
      </c>
      <c r="K29" s="216" t="s">
        <v>277</v>
      </c>
      <c r="L29" s="215" t="s">
        <v>278</v>
      </c>
      <c r="M29" s="216" t="s">
        <v>279</v>
      </c>
      <c r="N29" s="215" t="s">
        <v>280</v>
      </c>
      <c r="O29" s="216" t="s">
        <v>281</v>
      </c>
      <c r="P29" s="215" t="s">
        <v>282</v>
      </c>
      <c r="Q29" s="216" t="s">
        <v>283</v>
      </c>
      <c r="R29" s="25"/>
      <c r="T29" s="25"/>
      <c r="AE29" s="26"/>
      <c r="AF29" s="26"/>
    </row>
    <row r="30" spans="2:32" ht="12" customHeight="1">
      <c r="B30" s="204">
        <v>8</v>
      </c>
      <c r="C30" s="378" t="str">
        <f>T23</f>
        <v>三重</v>
      </c>
      <c r="D30" s="378" t="str">
        <f>U23</f>
        <v>MRC</v>
      </c>
      <c r="E30" s="207"/>
      <c r="F30" s="208"/>
      <c r="G30" s="220" t="s">
        <v>18</v>
      </c>
      <c r="H30" s="209" t="str">
        <f aca="true" t="shared" si="4" ref="H30:Q30">ASC(PHONETIC(H31))</f>
        <v>ﾐｽﾞﾉ</v>
      </c>
      <c r="I30" s="210" t="str">
        <f t="shared" si="4"/>
        <v>ｹﾝｲﾁ</v>
      </c>
      <c r="J30" s="209" t="str">
        <f t="shared" si="4"/>
        <v>ｲﾁｶﾜ</v>
      </c>
      <c r="K30" s="210" t="str">
        <f t="shared" si="4"/>
        <v>ﾋﾛﾀｶ</v>
      </c>
      <c r="L30" s="209" t="str">
        <f t="shared" si="4"/>
        <v>ｸﾛﾐﾔ</v>
      </c>
      <c r="M30" s="210" t="str">
        <f t="shared" si="4"/>
        <v>ｹﾝｼﾞ</v>
      </c>
      <c r="N30" s="209" t="str">
        <f t="shared" si="4"/>
        <v>ｽｷﾞﾓﾄ</v>
      </c>
      <c r="O30" s="210" t="str">
        <f t="shared" si="4"/>
        <v>ｻﾄｼ</v>
      </c>
      <c r="P30" s="209" t="str">
        <f t="shared" si="4"/>
        <v>ﾓﾘﾓﾄ</v>
      </c>
      <c r="Q30" s="210" t="str">
        <f t="shared" si="4"/>
        <v>ﾋﾃﾞﾕｷ</v>
      </c>
      <c r="R30" s="25"/>
      <c r="S30" s="388" t="s">
        <v>348</v>
      </c>
      <c r="T30" s="25"/>
      <c r="AE30" s="26"/>
      <c r="AF30" s="26"/>
    </row>
    <row r="31" spans="2:32" ht="12" customHeight="1">
      <c r="B31" s="221">
        <f>B30</f>
        <v>8</v>
      </c>
      <c r="C31" s="211" t="str">
        <f>C30</f>
        <v>三重</v>
      </c>
      <c r="D31" s="211" t="str">
        <f>D30</f>
        <v>MRC</v>
      </c>
      <c r="E31" s="213"/>
      <c r="F31" s="214"/>
      <c r="G31" s="222" t="s">
        <v>19</v>
      </c>
      <c r="H31" s="215" t="s">
        <v>325</v>
      </c>
      <c r="I31" s="216" t="s">
        <v>326</v>
      </c>
      <c r="J31" s="215" t="s">
        <v>327</v>
      </c>
      <c r="K31" s="216" t="s">
        <v>328</v>
      </c>
      <c r="L31" s="215" t="s">
        <v>329</v>
      </c>
      <c r="M31" s="216" t="s">
        <v>330</v>
      </c>
      <c r="N31" s="215" t="s">
        <v>298</v>
      </c>
      <c r="O31" s="216" t="s">
        <v>331</v>
      </c>
      <c r="P31" s="215" t="s">
        <v>332</v>
      </c>
      <c r="Q31" s="216" t="s">
        <v>333</v>
      </c>
      <c r="R31" s="25"/>
      <c r="S31" s="4"/>
      <c r="T31" s="25"/>
      <c r="AE31" s="26"/>
      <c r="AF31" s="26"/>
    </row>
    <row r="32" spans="2:32" ht="12" customHeight="1">
      <c r="B32" s="204">
        <v>9</v>
      </c>
      <c r="C32" s="378" t="str">
        <f>T24</f>
        <v>岐阜</v>
      </c>
      <c r="D32" s="378" t="str">
        <f>U24</f>
        <v>GPBC</v>
      </c>
      <c r="E32" s="207"/>
      <c r="F32" s="208"/>
      <c r="G32" s="220" t="s">
        <v>18</v>
      </c>
      <c r="H32" s="209" t="str">
        <f aca="true" t="shared" si="5" ref="H32:Q32">ASC(PHONETIC(H33))</f>
        <v>ｷﾑﾗ</v>
      </c>
      <c r="I32" s="210" t="str">
        <f t="shared" si="5"/>
        <v>ﾊﾔﾄ</v>
      </c>
      <c r="J32" s="209" t="str">
        <f t="shared" si="5"/>
        <v>ﾂｼﾞ</v>
      </c>
      <c r="K32" s="210" t="str">
        <f t="shared" si="5"/>
        <v>ｶｽﾞﾖｼ</v>
      </c>
      <c r="L32" s="209" t="str">
        <f t="shared" si="5"/>
        <v>ﾄｸﾅｶﾞ</v>
      </c>
      <c r="M32" s="210" t="str">
        <f t="shared" si="5"/>
        <v>ｼｭｳｼﾞ</v>
      </c>
      <c r="N32" s="209" t="str">
        <f t="shared" si="5"/>
        <v>ﾀｶﾊｼ</v>
      </c>
      <c r="O32" s="210" t="str">
        <f t="shared" si="5"/>
        <v>ﾋﾛﾕｷ</v>
      </c>
      <c r="P32" s="209" t="str">
        <f t="shared" si="5"/>
        <v>ﾉﾊﾗ</v>
      </c>
      <c r="Q32" s="210" t="str">
        <f t="shared" si="5"/>
        <v>ﾄﾓｶｽﾞ</v>
      </c>
      <c r="R32" s="25"/>
      <c r="S32" s="389" t="s">
        <v>349</v>
      </c>
      <c r="T32" s="25"/>
      <c r="AE32" s="26"/>
      <c r="AF32" s="26"/>
    </row>
    <row r="33" spans="2:32" ht="12" customHeight="1">
      <c r="B33" s="221">
        <f>B32</f>
        <v>9</v>
      </c>
      <c r="C33" s="211" t="str">
        <f>C32</f>
        <v>岐阜</v>
      </c>
      <c r="D33" s="211" t="str">
        <f>D32</f>
        <v>GPBC</v>
      </c>
      <c r="E33" s="213"/>
      <c r="F33" s="214"/>
      <c r="G33" s="222" t="s">
        <v>19</v>
      </c>
      <c r="H33" s="215" t="s">
        <v>305</v>
      </c>
      <c r="I33" s="216" t="s">
        <v>306</v>
      </c>
      <c r="J33" s="215" t="s">
        <v>307</v>
      </c>
      <c r="K33" s="216" t="s">
        <v>308</v>
      </c>
      <c r="L33" s="215" t="s">
        <v>309</v>
      </c>
      <c r="M33" s="216" t="s">
        <v>310</v>
      </c>
      <c r="N33" s="215" t="s">
        <v>311</v>
      </c>
      <c r="O33" s="216" t="s">
        <v>312</v>
      </c>
      <c r="P33" s="215" t="s">
        <v>313</v>
      </c>
      <c r="Q33" s="216" t="s">
        <v>314</v>
      </c>
      <c r="R33" s="25"/>
      <c r="S33" s="4"/>
      <c r="T33" s="25"/>
      <c r="AE33" s="26"/>
      <c r="AF33" s="26"/>
    </row>
    <row r="34" spans="2:32" ht="12" customHeight="1">
      <c r="B34" s="204">
        <v>10</v>
      </c>
      <c r="C34" s="381" t="s">
        <v>391</v>
      </c>
      <c r="D34" s="381" t="str">
        <f>IF(U25="","",U25)</f>
        <v>ORC-B</v>
      </c>
      <c r="E34" s="207"/>
      <c r="F34" s="208"/>
      <c r="G34" s="220" t="s">
        <v>18</v>
      </c>
      <c r="H34" s="209" t="str">
        <f aca="true" t="shared" si="6" ref="H34:Q34">ASC(PHONETIC(H35))</f>
        <v>ﾖｼﾓﾄ</v>
      </c>
      <c r="I34" s="210" t="str">
        <f t="shared" si="6"/>
        <v>ﾋﾛｼ</v>
      </c>
      <c r="J34" s="209" t="str">
        <f t="shared" si="6"/>
        <v>ﾆｼﾀﾞ</v>
      </c>
      <c r="K34" s="210" t="str">
        <f t="shared" si="6"/>
        <v>ｹｲｺ</v>
      </c>
      <c r="L34" s="209" t="str">
        <f t="shared" si="6"/>
        <v>ﾉﾑﾗ</v>
      </c>
      <c r="M34" s="210" t="str">
        <f t="shared" si="6"/>
        <v>ｿｳｼﾞ</v>
      </c>
      <c r="N34" s="209" t="str">
        <f t="shared" si="6"/>
        <v>ﾔﾏｻｷ</v>
      </c>
      <c r="O34" s="210" t="str">
        <f t="shared" si="6"/>
        <v>ﾏｷｺ</v>
      </c>
      <c r="P34" s="209" t="str">
        <f t="shared" si="6"/>
        <v>ｺﾓﾘ</v>
      </c>
      <c r="Q34" s="210" t="str">
        <f t="shared" si="6"/>
        <v>ﾏｻｱｷ</v>
      </c>
      <c r="R34" s="25"/>
      <c r="S34" s="4"/>
      <c r="T34" s="25"/>
      <c r="AE34" s="26"/>
      <c r="AF34" s="26"/>
    </row>
    <row r="35" spans="2:32" ht="12" customHeight="1">
      <c r="B35" s="221">
        <f>B34</f>
        <v>10</v>
      </c>
      <c r="C35" s="211" t="str">
        <f>C34</f>
        <v>大阪B</v>
      </c>
      <c r="D35" s="211"/>
      <c r="E35" s="213"/>
      <c r="F35" s="214"/>
      <c r="G35" s="222" t="s">
        <v>19</v>
      </c>
      <c r="H35" s="372" t="s">
        <v>356</v>
      </c>
      <c r="I35" s="373" t="s">
        <v>357</v>
      </c>
      <c r="J35" s="372" t="s">
        <v>358</v>
      </c>
      <c r="K35" s="373" t="s">
        <v>359</v>
      </c>
      <c r="L35" s="372" t="s">
        <v>360</v>
      </c>
      <c r="M35" s="373" t="s">
        <v>361</v>
      </c>
      <c r="N35" s="372" t="s">
        <v>362</v>
      </c>
      <c r="O35" s="373" t="s">
        <v>363</v>
      </c>
      <c r="P35" s="372" t="s">
        <v>388</v>
      </c>
      <c r="Q35" s="373" t="s">
        <v>389</v>
      </c>
      <c r="R35" s="25"/>
      <c r="S35" s="4"/>
      <c r="T35" s="25"/>
      <c r="AE35" s="26"/>
      <c r="AF35" s="26"/>
    </row>
    <row r="36" spans="2:32" ht="12" customHeight="1">
      <c r="B36" s="204">
        <v>11</v>
      </c>
      <c r="C36" s="205"/>
      <c r="D36" s="206"/>
      <c r="E36" s="207"/>
      <c r="F36" s="208"/>
      <c r="G36" s="220" t="s">
        <v>18</v>
      </c>
      <c r="H36" s="370"/>
      <c r="I36" s="371"/>
      <c r="J36" s="370"/>
      <c r="K36" s="371"/>
      <c r="L36" s="370"/>
      <c r="M36" s="371"/>
      <c r="N36" s="370"/>
      <c r="O36" s="371"/>
      <c r="P36" s="370"/>
      <c r="Q36" s="371"/>
      <c r="R36" s="25"/>
      <c r="S36" s="4"/>
      <c r="T36" s="25"/>
      <c r="AE36" s="26"/>
      <c r="AF36" s="26"/>
    </row>
    <row r="37" spans="2:32" ht="12" customHeight="1">
      <c r="B37" s="221">
        <f>B36</f>
        <v>11</v>
      </c>
      <c r="C37" s="211">
        <f>C36</f>
        <v>0</v>
      </c>
      <c r="D37" s="212"/>
      <c r="E37" s="213"/>
      <c r="F37" s="214"/>
      <c r="G37" s="222" t="s">
        <v>19</v>
      </c>
      <c r="H37" s="372"/>
      <c r="I37" s="373"/>
      <c r="J37" s="372"/>
      <c r="K37" s="373"/>
      <c r="L37" s="372"/>
      <c r="M37" s="373"/>
      <c r="N37" s="372"/>
      <c r="O37" s="373"/>
      <c r="P37" s="372"/>
      <c r="Q37" s="373"/>
      <c r="R37" s="25"/>
      <c r="S37" s="4"/>
      <c r="T37" s="25"/>
      <c r="AE37" s="26"/>
      <c r="AF37" s="26"/>
    </row>
    <row r="38" spans="31:32" ht="12" customHeight="1">
      <c r="AE38" s="26"/>
      <c r="AF38" s="26"/>
    </row>
    <row r="39" spans="31:32" ht="12" customHeight="1">
      <c r="AE39" s="26"/>
      <c r="AF39" s="26"/>
    </row>
    <row r="40" spans="31:32" ht="12" customHeight="1">
      <c r="AE40" s="26"/>
      <c r="AF40" s="26"/>
    </row>
    <row r="41" spans="31:32" ht="12" customHeight="1">
      <c r="AE41" s="26"/>
      <c r="AF41" s="26"/>
    </row>
    <row r="42" spans="31:32" ht="12" customHeight="1">
      <c r="AE42" s="26"/>
      <c r="AF42" s="26"/>
    </row>
    <row r="43" spans="31:32" ht="12" customHeight="1">
      <c r="AE43" s="26"/>
      <c r="AF43" s="26"/>
    </row>
    <row r="44" spans="31:32" ht="12" customHeight="1">
      <c r="AE44" s="26"/>
      <c r="AF44" s="26"/>
    </row>
    <row r="45" spans="31:32" ht="12" customHeight="1">
      <c r="AE45" s="26"/>
      <c r="AF45" s="26"/>
    </row>
    <row r="46" spans="31:32" ht="12" customHeight="1">
      <c r="AE46" s="26"/>
      <c r="AF46" s="26"/>
    </row>
    <row r="47" spans="31:32" ht="12" customHeight="1">
      <c r="AE47" s="26"/>
      <c r="AF47" s="26"/>
    </row>
    <row r="48" spans="31:32" ht="12" customHeight="1">
      <c r="AE48" s="26"/>
      <c r="AF48" s="26"/>
    </row>
    <row r="49" spans="31:32" ht="12" customHeight="1">
      <c r="AE49" s="26"/>
      <c r="AF49" s="26"/>
    </row>
    <row r="50" spans="31:32" ht="12" customHeight="1">
      <c r="AE50" s="26"/>
      <c r="AF50" s="26"/>
    </row>
    <row r="51" spans="31:32" ht="12" customHeight="1">
      <c r="AE51" s="26"/>
      <c r="AF51" s="26"/>
    </row>
    <row r="52" spans="31:32" ht="12" customHeight="1">
      <c r="AE52" s="26"/>
      <c r="AF52" s="26"/>
    </row>
    <row r="53" spans="31:32" ht="12" customHeight="1">
      <c r="AE53" s="26"/>
      <c r="AF53" s="26"/>
    </row>
    <row r="54" spans="31:32" ht="12" customHeight="1">
      <c r="AE54" s="26"/>
      <c r="AF54" s="26"/>
    </row>
    <row r="55" spans="31:32" ht="12" customHeight="1">
      <c r="AE55" s="26"/>
      <c r="AF55" s="26"/>
    </row>
    <row r="56" spans="31:32" ht="12" customHeight="1">
      <c r="AE56" s="26"/>
      <c r="AF56" s="26"/>
    </row>
    <row r="57" spans="31:32" ht="12" customHeight="1">
      <c r="AE57" s="26"/>
      <c r="AF57" s="26"/>
    </row>
    <row r="58" spans="31:32" ht="12" customHeight="1">
      <c r="AE58" s="26"/>
      <c r="AF58" s="26"/>
    </row>
    <row r="59" spans="31:32" ht="12" customHeight="1">
      <c r="AE59" s="26"/>
      <c r="AF59" s="26"/>
    </row>
    <row r="60" spans="31:32" ht="12" customHeight="1">
      <c r="AE60" s="26"/>
      <c r="AF60" s="26"/>
    </row>
    <row r="61" spans="31:32" ht="12" customHeight="1">
      <c r="AE61" s="26"/>
      <c r="AF61" s="26"/>
    </row>
    <row r="62" spans="31:32" ht="12" customHeight="1">
      <c r="AE62" s="26"/>
      <c r="AF62" s="26"/>
    </row>
    <row r="63" spans="31:32" ht="12" customHeight="1">
      <c r="AE63" s="26"/>
      <c r="AF63" s="26"/>
    </row>
    <row r="64" spans="31:32" ht="12" customHeight="1">
      <c r="AE64" s="26"/>
      <c r="AF64" s="26"/>
    </row>
    <row r="65" spans="31:32" ht="12" customHeight="1">
      <c r="AE65" s="26"/>
      <c r="AF65" s="26"/>
    </row>
    <row r="66" spans="31:32" ht="12" customHeight="1">
      <c r="AE66" s="26"/>
      <c r="AF66" s="26"/>
    </row>
    <row r="67" spans="31:32" ht="12" customHeight="1">
      <c r="AE67" s="26"/>
      <c r="AF67" s="26"/>
    </row>
    <row r="68" spans="31:32" ht="12" customHeight="1">
      <c r="AE68" s="26"/>
      <c r="AF68" s="26"/>
    </row>
    <row r="69" spans="31:32" ht="12" customHeight="1">
      <c r="AE69" s="26"/>
      <c r="AF69" s="26"/>
    </row>
    <row r="70" spans="31:32" ht="12" customHeight="1">
      <c r="AE70" s="26"/>
      <c r="AF70" s="26"/>
    </row>
    <row r="71" spans="31:32" ht="12" customHeight="1">
      <c r="AE71" s="26"/>
      <c r="AF71" s="26"/>
    </row>
    <row r="72" spans="31:32" ht="12" customHeight="1">
      <c r="AE72" s="26"/>
      <c r="AF72" s="26"/>
    </row>
    <row r="73" spans="31:32" ht="12" customHeight="1">
      <c r="AE73" s="26"/>
      <c r="AF73" s="26"/>
    </row>
    <row r="74" spans="31:32" ht="12" customHeight="1">
      <c r="AE74" s="26"/>
      <c r="AF74" s="26"/>
    </row>
    <row r="75" spans="31:32" ht="12" customHeight="1">
      <c r="AE75" s="26"/>
      <c r="AF75" s="26"/>
    </row>
    <row r="76" spans="31:32" ht="12" customHeight="1">
      <c r="AE76" s="26"/>
      <c r="AF76" s="26"/>
    </row>
    <row r="77" spans="31:32" ht="12" customHeight="1">
      <c r="AE77" s="26"/>
      <c r="AF77" s="26"/>
    </row>
    <row r="78" spans="31:32" ht="12" customHeight="1">
      <c r="AE78" s="26"/>
      <c r="AF78" s="26"/>
    </row>
    <row r="79" spans="31:32" ht="12" customHeight="1">
      <c r="AE79" s="26"/>
      <c r="AF79" s="26"/>
    </row>
    <row r="80" spans="31:32" ht="12" customHeight="1">
      <c r="AE80" s="26"/>
      <c r="AF80" s="26"/>
    </row>
    <row r="81" spans="31:32" ht="12" customHeight="1">
      <c r="AE81" s="26"/>
      <c r="AF81" s="26"/>
    </row>
    <row r="82" spans="31:32" ht="12" customHeight="1">
      <c r="AE82" s="26"/>
      <c r="AF82" s="26"/>
    </row>
    <row r="83" spans="31:32" ht="12" customHeight="1">
      <c r="AE83" s="26"/>
      <c r="AF83" s="26"/>
    </row>
    <row r="84" spans="31:32" ht="12" customHeight="1">
      <c r="AE84" s="26"/>
      <c r="AF84" s="26"/>
    </row>
    <row r="85" spans="31:32" ht="12" customHeight="1">
      <c r="AE85" s="26"/>
      <c r="AF85" s="26"/>
    </row>
    <row r="86" spans="31:32" ht="12" customHeight="1">
      <c r="AE86" s="26"/>
      <c r="AF86" s="26"/>
    </row>
    <row r="87" spans="31:32" ht="12" customHeight="1">
      <c r="AE87" s="26"/>
      <c r="AF87" s="26"/>
    </row>
    <row r="88" spans="31:32" ht="12" customHeight="1">
      <c r="AE88" s="26"/>
      <c r="AF88" s="26"/>
    </row>
    <row r="89" spans="31:32" ht="12" customHeight="1">
      <c r="AE89" s="26"/>
      <c r="AF89" s="26"/>
    </row>
    <row r="90" spans="31:32" ht="12" customHeight="1">
      <c r="AE90" s="26"/>
      <c r="AF90" s="26"/>
    </row>
    <row r="91" spans="31:32" ht="12" customHeight="1">
      <c r="AE91" s="26"/>
      <c r="AF91" s="26"/>
    </row>
    <row r="92" spans="31:32" ht="12" customHeight="1">
      <c r="AE92" s="26"/>
      <c r="AF92" s="26"/>
    </row>
    <row r="93" spans="31:32" ht="12" customHeight="1">
      <c r="AE93" s="26"/>
      <c r="AF93" s="26"/>
    </row>
    <row r="94" spans="31:32" ht="12" customHeight="1">
      <c r="AE94" s="26"/>
      <c r="AF94" s="26"/>
    </row>
    <row r="95" spans="31:32" ht="12" customHeight="1">
      <c r="AE95" s="26"/>
      <c r="AF95" s="26"/>
    </row>
    <row r="96" spans="31:32" ht="12" customHeight="1">
      <c r="AE96" s="26"/>
      <c r="AF96" s="26"/>
    </row>
    <row r="97" spans="31:32" ht="12" customHeight="1">
      <c r="AE97" s="26"/>
      <c r="AF97" s="26"/>
    </row>
    <row r="98" spans="31:32" ht="12" customHeight="1">
      <c r="AE98" s="26"/>
      <c r="AF98" s="26"/>
    </row>
    <row r="99" spans="31:32" ht="12" customHeight="1">
      <c r="AE99" s="26"/>
      <c r="AF99" s="26"/>
    </row>
    <row r="100" spans="31:32" ht="12" customHeight="1">
      <c r="AE100" s="26"/>
      <c r="AF100" s="26"/>
    </row>
    <row r="101" spans="31:32" ht="12" customHeight="1">
      <c r="AE101" s="26"/>
      <c r="AF101" s="26"/>
    </row>
    <row r="102" spans="31:32" ht="12" customHeight="1">
      <c r="AE102" s="26"/>
      <c r="AF102" s="26"/>
    </row>
    <row r="103" spans="31:32" ht="12" customHeight="1">
      <c r="AE103" s="26"/>
      <c r="AF103" s="26"/>
    </row>
    <row r="104" spans="31:32" ht="12" customHeight="1">
      <c r="AE104" s="26"/>
      <c r="AF104" s="26"/>
    </row>
    <row r="105" spans="31:32" ht="12" customHeight="1">
      <c r="AE105" s="26"/>
      <c r="AF105" s="26"/>
    </row>
    <row r="106" spans="31:32" ht="12" customHeight="1">
      <c r="AE106" s="26"/>
      <c r="AF106" s="26"/>
    </row>
    <row r="107" spans="31:32" ht="12" customHeight="1">
      <c r="AE107" s="26"/>
      <c r="AF107" s="26"/>
    </row>
    <row r="108" spans="31:32" ht="12" customHeight="1">
      <c r="AE108" s="26"/>
      <c r="AF108" s="26"/>
    </row>
    <row r="109" spans="31:32" ht="12" customHeight="1">
      <c r="AE109" s="26"/>
      <c r="AF109" s="26"/>
    </row>
    <row r="110" spans="31:32" ht="12" customHeight="1">
      <c r="AE110" s="26"/>
      <c r="AF110" s="26"/>
    </row>
    <row r="111" spans="31:32" ht="12" customHeight="1">
      <c r="AE111" s="26"/>
      <c r="AF111" s="26"/>
    </row>
    <row r="112" spans="31:32" ht="12" customHeight="1">
      <c r="AE112" s="26"/>
      <c r="AF112" s="26"/>
    </row>
    <row r="113" spans="31:32" ht="12" customHeight="1">
      <c r="AE113" s="26"/>
      <c r="AF113" s="26"/>
    </row>
    <row r="114" spans="31:32" ht="12" customHeight="1">
      <c r="AE114" s="26"/>
      <c r="AF114" s="26"/>
    </row>
    <row r="115" spans="31:32" ht="12" customHeight="1">
      <c r="AE115" s="26"/>
      <c r="AF115" s="26"/>
    </row>
    <row r="116" spans="31:32" ht="12" customHeight="1">
      <c r="AE116" s="26"/>
      <c r="AF116" s="26"/>
    </row>
    <row r="117" spans="31:32" ht="12" customHeight="1">
      <c r="AE117" s="26"/>
      <c r="AF117" s="26"/>
    </row>
    <row r="118" spans="31:32" ht="12" customHeight="1">
      <c r="AE118" s="26"/>
      <c r="AF118" s="26"/>
    </row>
    <row r="119" spans="31:32" ht="12" customHeight="1">
      <c r="AE119" s="26"/>
      <c r="AF119" s="26"/>
    </row>
    <row r="120" spans="31:32" ht="12" customHeight="1">
      <c r="AE120" s="26"/>
      <c r="AF120" s="26"/>
    </row>
    <row r="121" spans="31:32" ht="12" customHeight="1">
      <c r="AE121" s="26"/>
      <c r="AF121" s="26"/>
    </row>
    <row r="122" spans="31:32" ht="12" customHeight="1">
      <c r="AE122" s="26"/>
      <c r="AF122" s="26"/>
    </row>
    <row r="123" spans="31:32" ht="12" customHeight="1">
      <c r="AE123" s="26"/>
      <c r="AF123" s="26"/>
    </row>
    <row r="124" spans="31:32" ht="12" customHeight="1">
      <c r="AE124" s="26"/>
      <c r="AF124" s="26"/>
    </row>
    <row r="125" spans="31:32" ht="12" customHeight="1">
      <c r="AE125" s="26"/>
      <c r="AF125" s="26"/>
    </row>
    <row r="126" spans="31:32" ht="12" customHeight="1">
      <c r="AE126" s="26"/>
      <c r="AF126" s="26"/>
    </row>
    <row r="127" spans="31:32" ht="12" customHeight="1">
      <c r="AE127" s="26"/>
      <c r="AF127" s="26"/>
    </row>
    <row r="128" spans="31:32" ht="12" customHeight="1">
      <c r="AE128" s="26"/>
      <c r="AF128" s="26"/>
    </row>
    <row r="129" spans="31:32" ht="12" customHeight="1">
      <c r="AE129" s="26"/>
      <c r="AF129" s="26"/>
    </row>
    <row r="130" spans="31:32" ht="12" customHeight="1">
      <c r="AE130" s="26"/>
      <c r="AF130" s="26"/>
    </row>
    <row r="131" spans="31:32" ht="12" customHeight="1">
      <c r="AE131" s="26"/>
      <c r="AF131" s="26"/>
    </row>
    <row r="132" spans="31:32" ht="12" customHeight="1">
      <c r="AE132" s="26"/>
      <c r="AF132" s="26"/>
    </row>
    <row r="133" spans="31:32" ht="12" customHeight="1">
      <c r="AE133" s="26"/>
      <c r="AF133" s="26"/>
    </row>
    <row r="134" spans="31:32" ht="12" customHeight="1">
      <c r="AE134" s="26"/>
      <c r="AF134" s="26"/>
    </row>
    <row r="135" spans="31:32" ht="12" customHeight="1">
      <c r="AE135" s="26"/>
      <c r="AF135" s="26"/>
    </row>
    <row r="136" spans="31:32" ht="12" customHeight="1">
      <c r="AE136" s="26"/>
      <c r="AF136" s="26"/>
    </row>
    <row r="137" spans="31:32" ht="12" customHeight="1">
      <c r="AE137" s="26"/>
      <c r="AF137" s="26"/>
    </row>
    <row r="138" spans="31:32" ht="12" customHeight="1">
      <c r="AE138" s="26"/>
      <c r="AF138" s="26"/>
    </row>
    <row r="139" spans="31:32" ht="12" customHeight="1">
      <c r="AE139" s="26"/>
      <c r="AF139" s="26"/>
    </row>
    <row r="140" spans="31:32" ht="12" customHeight="1">
      <c r="AE140" s="26"/>
      <c r="AF140" s="26"/>
    </row>
    <row r="141" spans="31:32" ht="12" customHeight="1">
      <c r="AE141" s="26"/>
      <c r="AF141" s="26"/>
    </row>
    <row r="142" spans="31:32" ht="12" customHeight="1">
      <c r="AE142" s="26"/>
      <c r="AF142" s="26"/>
    </row>
    <row r="143" spans="31:32" ht="12" customHeight="1">
      <c r="AE143" s="26"/>
      <c r="AF143" s="26"/>
    </row>
    <row r="144" spans="31:32" ht="12" customHeight="1">
      <c r="AE144" s="26"/>
      <c r="AF144" s="26"/>
    </row>
    <row r="145" spans="31:32" ht="12" customHeight="1">
      <c r="AE145" s="26"/>
      <c r="AF145" s="26"/>
    </row>
    <row r="146" spans="31:32" ht="12" customHeight="1">
      <c r="AE146" s="26"/>
      <c r="AF146" s="26"/>
    </row>
    <row r="147" spans="31:32" ht="12" customHeight="1">
      <c r="AE147" s="26"/>
      <c r="AF147" s="26"/>
    </row>
    <row r="148" spans="31:32" ht="12" customHeight="1">
      <c r="AE148" s="26"/>
      <c r="AF148" s="26"/>
    </row>
    <row r="149" spans="31:32" ht="12" customHeight="1">
      <c r="AE149" s="26"/>
      <c r="AF149" s="26"/>
    </row>
    <row r="150" spans="31:32" ht="12" customHeight="1">
      <c r="AE150" s="26"/>
      <c r="AF150" s="26"/>
    </row>
    <row r="151" spans="31:32" ht="12" customHeight="1">
      <c r="AE151" s="26"/>
      <c r="AF151" s="26"/>
    </row>
    <row r="152" spans="31:32" ht="12" customHeight="1">
      <c r="AE152" s="26"/>
      <c r="AF152" s="26"/>
    </row>
    <row r="153" spans="31:32" ht="12" customHeight="1">
      <c r="AE153" s="26"/>
      <c r="AF153" s="26"/>
    </row>
    <row r="154" spans="31:32" ht="12" customHeight="1">
      <c r="AE154" s="26"/>
      <c r="AF154" s="26"/>
    </row>
    <row r="155" spans="31:32" ht="12" customHeight="1">
      <c r="AE155" s="26"/>
      <c r="AF155" s="26"/>
    </row>
    <row r="156" spans="31:32" ht="12" customHeight="1">
      <c r="AE156" s="26"/>
      <c r="AF156" s="26"/>
    </row>
    <row r="157" spans="31:32" ht="12" customHeight="1">
      <c r="AE157" s="26"/>
      <c r="AF157" s="26"/>
    </row>
    <row r="158" spans="31:32" ht="12" customHeight="1">
      <c r="AE158" s="26"/>
      <c r="AF158" s="26"/>
    </row>
    <row r="159" spans="31:32" ht="12" customHeight="1">
      <c r="AE159" s="26"/>
      <c r="AF159" s="26"/>
    </row>
    <row r="160" spans="31:32" ht="12" customHeight="1">
      <c r="AE160" s="26"/>
      <c r="AF160" s="26"/>
    </row>
    <row r="161" spans="31:32" ht="12" customHeight="1">
      <c r="AE161" s="26"/>
      <c r="AF161" s="26"/>
    </row>
    <row r="162" spans="31:32" ht="12" customHeight="1">
      <c r="AE162" s="26"/>
      <c r="AF162" s="26"/>
    </row>
    <row r="163" spans="31:32" ht="12" customHeight="1">
      <c r="AE163" s="26"/>
      <c r="AF163" s="26"/>
    </row>
    <row r="164" spans="31:32" ht="12" customHeight="1">
      <c r="AE164" s="26"/>
      <c r="AF164" s="26"/>
    </row>
    <row r="165" spans="31:32" ht="12" customHeight="1">
      <c r="AE165" s="26"/>
      <c r="AF165" s="26"/>
    </row>
    <row r="166" spans="31:32" ht="12" customHeight="1">
      <c r="AE166" s="26"/>
      <c r="AF166" s="26"/>
    </row>
    <row r="167" spans="31:32" ht="12" customHeight="1">
      <c r="AE167" s="26"/>
      <c r="AF167" s="26"/>
    </row>
    <row r="168" spans="31:32" ht="12" customHeight="1">
      <c r="AE168" s="26"/>
      <c r="AF168" s="26"/>
    </row>
    <row r="169" spans="31:32" ht="12" customHeight="1">
      <c r="AE169" s="26"/>
      <c r="AF169" s="26"/>
    </row>
    <row r="170" spans="31:32" ht="12" customHeight="1">
      <c r="AE170" s="26"/>
      <c r="AF170" s="26"/>
    </row>
    <row r="171" spans="31:32" ht="12" customHeight="1">
      <c r="AE171" s="26"/>
      <c r="AF171" s="26"/>
    </row>
    <row r="172" spans="31:32" ht="12" customHeight="1">
      <c r="AE172" s="26"/>
      <c r="AF172" s="26"/>
    </row>
    <row r="173" spans="31:32" ht="12" customHeight="1">
      <c r="AE173" s="26"/>
      <c r="AF173" s="26"/>
    </row>
    <row r="174" spans="31:32" ht="12" customHeight="1">
      <c r="AE174" s="26"/>
      <c r="AF174" s="26"/>
    </row>
    <row r="175" spans="31:32" ht="12" customHeight="1">
      <c r="AE175" s="26"/>
      <c r="AF175" s="26"/>
    </row>
    <row r="176" spans="31:32" ht="12" customHeight="1">
      <c r="AE176" s="26"/>
      <c r="AF176" s="26"/>
    </row>
    <row r="177" spans="31:32" ht="12" customHeight="1">
      <c r="AE177" s="26"/>
      <c r="AF177" s="26"/>
    </row>
    <row r="178" spans="31:32" ht="12" customHeight="1">
      <c r="AE178" s="26"/>
      <c r="AF178" s="26"/>
    </row>
    <row r="179" spans="31:32" ht="12" customHeight="1">
      <c r="AE179" s="26"/>
      <c r="AF179" s="26"/>
    </row>
    <row r="180" spans="31:32" ht="12" customHeight="1">
      <c r="AE180" s="26"/>
      <c r="AF180" s="26"/>
    </row>
    <row r="181" spans="31:32" ht="12" customHeight="1">
      <c r="AE181" s="26"/>
      <c r="AF181" s="26"/>
    </row>
    <row r="182" spans="31:32" ht="12" customHeight="1">
      <c r="AE182" s="26"/>
      <c r="AF182" s="26"/>
    </row>
    <row r="183" spans="31:32" ht="12" customHeight="1">
      <c r="AE183" s="26"/>
      <c r="AF183" s="26"/>
    </row>
    <row r="184" spans="31:32" ht="12" customHeight="1">
      <c r="AE184" s="26"/>
      <c r="AF184" s="26"/>
    </row>
    <row r="185" spans="31:32" ht="12" customHeight="1">
      <c r="AE185" s="26"/>
      <c r="AF185" s="26"/>
    </row>
  </sheetData>
  <sheetProtection/>
  <mergeCells count="2">
    <mergeCell ref="O13:P13"/>
    <mergeCell ref="B12:Q12"/>
  </mergeCells>
  <printOptions horizontalCentered="1"/>
  <pageMargins left="0.4326388888888889" right="0" top="0.39305555555555555" bottom="0.19652777777777777" header="0.11805555555555555" footer="0.19652777777777777"/>
  <pageSetup fitToHeight="65535" fitToWidth="65535" horizontalDpi="300" verticalDpi="300" orientation="portrait" paperSize="8" scale="11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S62"/>
  <sheetViews>
    <sheetView zoomScaleSheetLayoutView="100" zoomScalePageLayoutView="0" workbookViewId="0" topLeftCell="A1">
      <selection activeCell="F67" sqref="F67"/>
    </sheetView>
  </sheetViews>
  <sheetFormatPr defaultColWidth="9.00390625" defaultRowHeight="13.5"/>
  <cols>
    <col min="14" max="14" width="17.375" style="0" customWidth="1"/>
    <col min="15" max="15" width="15.375" style="0" customWidth="1"/>
    <col min="17" max="17" width="5.625" style="0" customWidth="1"/>
  </cols>
  <sheetData>
    <row r="2" spans="3:17" ht="13.5" customHeight="1">
      <c r="C2" t="s">
        <v>250</v>
      </c>
      <c r="E2" s="181" t="s">
        <v>14</v>
      </c>
      <c r="F2" s="181" t="s">
        <v>251</v>
      </c>
      <c r="G2" s="181" t="s">
        <v>230</v>
      </c>
      <c r="H2" s="181" t="s">
        <v>231</v>
      </c>
      <c r="I2" s="181" t="s">
        <v>232</v>
      </c>
      <c r="J2" s="181" t="s">
        <v>233</v>
      </c>
      <c r="K2" s="181" t="s">
        <v>245</v>
      </c>
      <c r="L2" s="181" t="s">
        <v>246</v>
      </c>
      <c r="M2" s="181" t="s">
        <v>247</v>
      </c>
      <c r="N2" s="5" t="s">
        <v>59</v>
      </c>
      <c r="O2" s="180" t="s">
        <v>252</v>
      </c>
      <c r="P2" s="180" t="s">
        <v>243</v>
      </c>
      <c r="Q2" s="180" t="s">
        <v>253</v>
      </c>
    </row>
    <row r="3" spans="1:19" ht="13.5" customHeight="1">
      <c r="A3" s="192" t="s">
        <v>61</v>
      </c>
      <c r="B3" s="182" t="s">
        <v>254</v>
      </c>
      <c r="C3" s="183">
        <f aca="true" t="shared" si="0" ref="C3:C34">RANK(N3,$N$3:$N$62)</f>
        <v>5</v>
      </c>
      <c r="D3" s="183">
        <f aca="true" t="shared" si="1" ref="D3:D34">COUNTIF($C$3:$C$62,C3)</f>
        <v>1</v>
      </c>
      <c r="E3" s="183" t="str">
        <f>'★(結果)④番手別＆総合成績'!B7</f>
        <v>兵庫</v>
      </c>
      <c r="F3" s="183" t="str">
        <f>'★(結果)④番手別＆総合成績'!C7</f>
        <v>高木 俊行</v>
      </c>
      <c r="G3" s="183">
        <f>'★(結果)④番手別＆総合成績'!P7</f>
        <v>7</v>
      </c>
      <c r="H3" s="183">
        <f>'★(結果)④番手別＆総合成績'!Q7</f>
        <v>2</v>
      </c>
      <c r="I3" s="183">
        <f>'★(結果)④番手別＆総合成績'!R7</f>
        <v>953</v>
      </c>
      <c r="J3" s="183">
        <f>'★(結果)④番手別＆総合成績'!S7</f>
        <v>567</v>
      </c>
      <c r="K3" s="184">
        <f aca="true" t="shared" si="2" ref="K3:K34">G3/(G3+H3)</f>
        <v>0.7777777777777778</v>
      </c>
      <c r="L3" s="183">
        <f aca="true" t="shared" si="3" ref="L3:L34">I3/(G3+H3)</f>
        <v>105.88888888888889</v>
      </c>
      <c r="M3" s="185">
        <f aca="true" t="shared" si="4" ref="M3:M34">J3/(G3+H3)</f>
        <v>63</v>
      </c>
      <c r="N3" s="195">
        <f aca="true" t="shared" si="5" ref="N3:N34">IF(ISERROR(ROUND(K3,5)*100000000000000+L3),0,ROUND(K3,5)*100000000000000+L3*10000000-M3)</f>
        <v>77779058888825.89</v>
      </c>
      <c r="O3" s="183">
        <f>'★(結果)④番手別＆総合成績'!AR7</f>
        <v>0</v>
      </c>
      <c r="P3" t="e">
        <f aca="true" t="shared" si="6" ref="P3:P34">RANK(O3,$O$3:$O$62)</f>
        <v>#REF!</v>
      </c>
      <c r="Q3">
        <f aca="true" t="shared" si="7" ref="Q3:Q34">COUNTIF($P$3:$P$62,P3)</f>
        <v>60</v>
      </c>
      <c r="R3" t="str">
        <f aca="true" t="shared" si="8" ref="R3:R34">E3</f>
        <v>兵庫</v>
      </c>
      <c r="S3" t="str">
        <f aca="true" t="shared" si="9" ref="S3:S34">F3</f>
        <v>高木 俊行</v>
      </c>
    </row>
    <row r="4" spans="1:19" ht="13.5" customHeight="1">
      <c r="A4" s="193"/>
      <c r="B4" s="186"/>
      <c r="C4">
        <f t="shared" si="0"/>
        <v>12</v>
      </c>
      <c r="D4">
        <f t="shared" si="1"/>
        <v>1</v>
      </c>
      <c r="E4" s="187" t="str">
        <f>'★(結果)④番手別＆総合成績'!B8</f>
        <v>愛知</v>
      </c>
      <c r="F4" s="187" t="str">
        <f>'★(結果)④番手別＆総合成績'!C8</f>
        <v>小川 晃</v>
      </c>
      <c r="G4" s="187">
        <f>'★(結果)④番手別＆総合成績'!P8</f>
        <v>6</v>
      </c>
      <c r="H4" s="187">
        <f>'★(結果)④番手別＆総合成績'!Q8</f>
        <v>3</v>
      </c>
      <c r="I4" s="187">
        <f>'★(結果)④番手別＆総合成績'!R8</f>
        <v>871</v>
      </c>
      <c r="J4" s="187">
        <f>'★(結果)④番手別＆総合成績'!S8</f>
        <v>636</v>
      </c>
      <c r="K4" s="187">
        <f t="shared" si="2"/>
        <v>0.6666666666666666</v>
      </c>
      <c r="L4" s="187">
        <f t="shared" si="3"/>
        <v>96.77777777777777</v>
      </c>
      <c r="M4" s="188">
        <f t="shared" si="4"/>
        <v>70.66666666666667</v>
      </c>
      <c r="N4" s="196">
        <f t="shared" si="5"/>
        <v>66667967777707.12</v>
      </c>
      <c r="O4" s="187">
        <f>'★(結果)④番手別＆総合成績'!AR8</f>
        <v>105</v>
      </c>
      <c r="P4" t="e">
        <f t="shared" si="6"/>
        <v>#REF!</v>
      </c>
      <c r="Q4">
        <f t="shared" si="7"/>
        <v>60</v>
      </c>
      <c r="R4" t="str">
        <f t="shared" si="8"/>
        <v>愛知</v>
      </c>
      <c r="S4" t="str">
        <f t="shared" si="9"/>
        <v>小川 晃</v>
      </c>
    </row>
    <row r="5" spans="1:19" ht="13.5" customHeight="1">
      <c r="A5" s="193"/>
      <c r="B5" s="186"/>
      <c r="C5">
        <f t="shared" si="0"/>
        <v>36</v>
      </c>
      <c r="D5">
        <f t="shared" si="1"/>
        <v>1</v>
      </c>
      <c r="E5" s="187" t="str">
        <f>'★(結果)④番手別＆総合成績'!B9</f>
        <v>京都</v>
      </c>
      <c r="F5" s="187" t="str">
        <f>'★(結果)④番手別＆総合成績'!C9</f>
        <v>今村 哲也</v>
      </c>
      <c r="G5" s="187">
        <f>'★(結果)④番手別＆総合成績'!P9</f>
        <v>4</v>
      </c>
      <c r="H5" s="187">
        <f>'★(結果)④番手別＆総合成績'!Q9</f>
        <v>5</v>
      </c>
      <c r="I5" s="187">
        <f>'★(結果)④番手別＆総合成績'!R9</f>
        <v>663</v>
      </c>
      <c r="J5" s="187">
        <f>'★(結果)④番手別＆総合成績'!S9</f>
        <v>780</v>
      </c>
      <c r="K5" s="187">
        <f t="shared" si="2"/>
        <v>0.4444444444444444</v>
      </c>
      <c r="L5" s="187">
        <f t="shared" si="3"/>
        <v>73.66666666666667</v>
      </c>
      <c r="M5" s="188">
        <f t="shared" si="4"/>
        <v>86.66666666666667</v>
      </c>
      <c r="N5" s="196">
        <f t="shared" si="5"/>
        <v>44444736666580</v>
      </c>
      <c r="O5" s="187">
        <f>'★(結果)④番手別＆総合成績'!AR9</f>
        <v>112</v>
      </c>
      <c r="P5" t="e">
        <f t="shared" si="6"/>
        <v>#REF!</v>
      </c>
      <c r="Q5">
        <f t="shared" si="7"/>
        <v>60</v>
      </c>
      <c r="R5" t="str">
        <f t="shared" si="8"/>
        <v>京都</v>
      </c>
      <c r="S5" t="str">
        <f t="shared" si="9"/>
        <v>今村 哲也</v>
      </c>
    </row>
    <row r="6" spans="1:19" ht="13.5" customHeight="1">
      <c r="A6" s="193"/>
      <c r="B6" s="186"/>
      <c r="C6">
        <f t="shared" si="0"/>
        <v>4</v>
      </c>
      <c r="D6">
        <f t="shared" si="1"/>
        <v>1</v>
      </c>
      <c r="E6" s="187" t="str">
        <f>'★(結果)④番手別＆総合成績'!B10</f>
        <v>大阪A</v>
      </c>
      <c r="F6" s="187" t="str">
        <f>'★(結果)④番手別＆総合成績'!C10</f>
        <v>村上 泰辰</v>
      </c>
      <c r="G6" s="187">
        <f>'★(結果)④番手別＆総合成績'!P10</f>
        <v>7</v>
      </c>
      <c r="H6" s="187">
        <f>'★(結果)④番手別＆総合成績'!Q10</f>
        <v>2</v>
      </c>
      <c r="I6" s="187">
        <f>'★(結果)④番手別＆総合成績'!R10</f>
        <v>958</v>
      </c>
      <c r="J6" s="187">
        <f>'★(結果)④番手別＆総合成績'!S10</f>
        <v>467</v>
      </c>
      <c r="K6" s="187">
        <f t="shared" si="2"/>
        <v>0.7777777777777778</v>
      </c>
      <c r="L6" s="187">
        <f t="shared" si="3"/>
        <v>106.44444444444444</v>
      </c>
      <c r="M6" s="188">
        <f t="shared" si="4"/>
        <v>51.888888888888886</v>
      </c>
      <c r="N6" s="196">
        <f t="shared" si="5"/>
        <v>77779064444392.55</v>
      </c>
      <c r="O6" s="187">
        <f>'★(結果)④番手別＆総合成績'!AR10</f>
        <v>10346</v>
      </c>
      <c r="P6" t="e">
        <f t="shared" si="6"/>
        <v>#REF!</v>
      </c>
      <c r="Q6">
        <f t="shared" si="7"/>
        <v>60</v>
      </c>
      <c r="R6" t="str">
        <f t="shared" si="8"/>
        <v>大阪A</v>
      </c>
      <c r="S6" t="str">
        <f t="shared" si="9"/>
        <v>村上 泰辰</v>
      </c>
    </row>
    <row r="7" spans="1:19" ht="13.5" customHeight="1">
      <c r="A7" s="193"/>
      <c r="B7" s="186"/>
      <c r="C7">
        <f t="shared" si="0"/>
        <v>40</v>
      </c>
      <c r="D7">
        <f t="shared" si="1"/>
        <v>1</v>
      </c>
      <c r="E7" s="187" t="str">
        <f>'★(結果)④番手別＆総合成績'!B11</f>
        <v>和歌山</v>
      </c>
      <c r="F7" s="187" t="str">
        <f>'★(結果)④番手別＆総合成績'!C11</f>
        <v>岸上 賢一</v>
      </c>
      <c r="G7" s="187">
        <f>'★(結果)④番手別＆総合成績'!P11</f>
        <v>3</v>
      </c>
      <c r="H7" s="187">
        <f>'★(結果)④番手別＆総合成績'!Q11</f>
        <v>6</v>
      </c>
      <c r="I7" s="187">
        <f>'★(結果)④番手別＆総合成績'!R11</f>
        <v>705</v>
      </c>
      <c r="J7" s="187">
        <f>'★(結果)④番手別＆総合成績'!S11</f>
        <v>1021</v>
      </c>
      <c r="K7" s="187">
        <f t="shared" si="2"/>
        <v>0.3333333333333333</v>
      </c>
      <c r="L7" s="187">
        <f t="shared" si="3"/>
        <v>78.33333333333333</v>
      </c>
      <c r="M7" s="188">
        <f t="shared" si="4"/>
        <v>113.44444444444444</v>
      </c>
      <c r="N7" s="196">
        <f t="shared" si="5"/>
        <v>33333783333219.887</v>
      </c>
      <c r="O7" s="187">
        <f>'★(結果)④番手別＆総合成績'!AR11</f>
        <v>0</v>
      </c>
      <c r="P7" t="e">
        <f t="shared" si="6"/>
        <v>#REF!</v>
      </c>
      <c r="Q7">
        <f t="shared" si="7"/>
        <v>60</v>
      </c>
      <c r="R7" t="str">
        <f t="shared" si="8"/>
        <v>和歌山</v>
      </c>
      <c r="S7" t="str">
        <f t="shared" si="9"/>
        <v>岸上 賢一</v>
      </c>
    </row>
    <row r="8" spans="1:19" ht="13.5" customHeight="1">
      <c r="A8" s="193"/>
      <c r="B8" s="186"/>
      <c r="C8">
        <f t="shared" si="0"/>
        <v>46</v>
      </c>
      <c r="D8">
        <f t="shared" si="1"/>
        <v>1</v>
      </c>
      <c r="E8" s="187" t="str">
        <f>'★(結果)④番手別＆総合成績'!B12</f>
        <v>滋賀</v>
      </c>
      <c r="F8" s="187" t="str">
        <f>'★(結果)④番手別＆総合成績'!C12</f>
        <v>酒井 美希</v>
      </c>
      <c r="G8" s="187">
        <f>'★(結果)④番手別＆総合成績'!P12</f>
        <v>2</v>
      </c>
      <c r="H8" s="187">
        <f>'★(結果)④番手別＆総合成績'!Q12</f>
        <v>7</v>
      </c>
      <c r="I8" s="187">
        <f>'★(結果)④番手別＆総合成績'!R12</f>
        <v>607</v>
      </c>
      <c r="J8" s="187">
        <f>'★(結果)④番手別＆総合成績'!S12</f>
        <v>991</v>
      </c>
      <c r="K8" s="187">
        <f t="shared" si="2"/>
        <v>0.2222222222222222</v>
      </c>
      <c r="L8" s="187">
        <f t="shared" si="3"/>
        <v>67.44444444444444</v>
      </c>
      <c r="M8" s="188">
        <f t="shared" si="4"/>
        <v>110.11111111111111</v>
      </c>
      <c r="N8" s="196">
        <f t="shared" si="5"/>
        <v>22222674444334.336</v>
      </c>
      <c r="O8" s="187">
        <f>'★(結果)④番手別＆総合成績'!AR12</f>
        <v>0</v>
      </c>
      <c r="P8" t="e">
        <f t="shared" si="6"/>
        <v>#REF!</v>
      </c>
      <c r="Q8">
        <f t="shared" si="7"/>
        <v>60</v>
      </c>
      <c r="R8" t="str">
        <f t="shared" si="8"/>
        <v>滋賀</v>
      </c>
      <c r="S8" t="str">
        <f t="shared" si="9"/>
        <v>酒井 美希</v>
      </c>
    </row>
    <row r="9" spans="1:19" ht="13.5" customHeight="1">
      <c r="A9" s="193"/>
      <c r="B9" s="186"/>
      <c r="C9">
        <f t="shared" si="0"/>
        <v>47</v>
      </c>
      <c r="D9">
        <f t="shared" si="1"/>
        <v>1</v>
      </c>
      <c r="E9" s="187" t="str">
        <f>'★(結果)④番手別＆総合成績'!B13</f>
        <v>奈良</v>
      </c>
      <c r="F9" s="187" t="str">
        <f>'★(結果)④番手別＆総合成績'!C13</f>
        <v>岩本 剛</v>
      </c>
      <c r="G9" s="187">
        <f>'★(結果)④番手別＆総合成績'!P13</f>
        <v>2</v>
      </c>
      <c r="H9" s="187">
        <f>'★(結果)④番手別＆総合成績'!Q13</f>
        <v>7</v>
      </c>
      <c r="I9" s="187">
        <f>'★(結果)④番手別＆総合成績'!R13</f>
        <v>580</v>
      </c>
      <c r="J9" s="187">
        <f>'★(結果)④番手別＆総合成績'!S13</f>
        <v>1005</v>
      </c>
      <c r="K9" s="187">
        <f t="shared" si="2"/>
        <v>0.2222222222222222</v>
      </c>
      <c r="L9" s="187">
        <f t="shared" si="3"/>
        <v>64.44444444444444</v>
      </c>
      <c r="M9" s="188">
        <f t="shared" si="4"/>
        <v>111.66666666666667</v>
      </c>
      <c r="N9" s="196">
        <f t="shared" si="5"/>
        <v>22222644444332.777</v>
      </c>
      <c r="O9" s="187">
        <f>'★(結果)④番手別＆総合成績'!AR13</f>
        <v>0</v>
      </c>
      <c r="P9" t="e">
        <f t="shared" si="6"/>
        <v>#REF!</v>
      </c>
      <c r="Q9">
        <f t="shared" si="7"/>
        <v>60</v>
      </c>
      <c r="R9" t="str">
        <f t="shared" si="8"/>
        <v>奈良</v>
      </c>
      <c r="S9" t="str">
        <f t="shared" si="9"/>
        <v>岩本 剛</v>
      </c>
    </row>
    <row r="10" spans="1:19" ht="13.5" customHeight="1">
      <c r="A10" s="193"/>
      <c r="B10" s="186"/>
      <c r="C10">
        <f t="shared" si="0"/>
        <v>13</v>
      </c>
      <c r="D10">
        <f t="shared" si="1"/>
        <v>1</v>
      </c>
      <c r="E10" s="187" t="str">
        <f>'★(結果)④番手別＆総合成績'!B14</f>
        <v>三重</v>
      </c>
      <c r="F10" s="187" t="str">
        <f>'★(結果)④番手別＆総合成績'!C14</f>
        <v>水野 憲一</v>
      </c>
      <c r="G10" s="187">
        <f>'★(結果)④番手別＆総合成績'!P14</f>
        <v>6</v>
      </c>
      <c r="H10" s="187">
        <f>'★(結果)④番手別＆総合成績'!Q14</f>
        <v>3</v>
      </c>
      <c r="I10" s="187">
        <f>'★(結果)④番手別＆総合成績'!R14</f>
        <v>868</v>
      </c>
      <c r="J10" s="187">
        <f>'★(結果)④番手別＆総合成績'!S14</f>
        <v>755</v>
      </c>
      <c r="K10" s="187">
        <f t="shared" si="2"/>
        <v>0.6666666666666666</v>
      </c>
      <c r="L10" s="187">
        <f t="shared" si="3"/>
        <v>96.44444444444444</v>
      </c>
      <c r="M10" s="188">
        <f t="shared" si="4"/>
        <v>83.88888888888889</v>
      </c>
      <c r="N10" s="196">
        <f t="shared" si="5"/>
        <v>66667964444360.555</v>
      </c>
      <c r="O10" s="187">
        <f>'★(結果)④番手別＆総合成績'!AR14</f>
        <v>0</v>
      </c>
      <c r="P10" t="e">
        <f t="shared" si="6"/>
        <v>#REF!</v>
      </c>
      <c r="Q10">
        <f t="shared" si="7"/>
        <v>60</v>
      </c>
      <c r="R10" t="str">
        <f t="shared" si="8"/>
        <v>三重</v>
      </c>
      <c r="S10" t="str">
        <f t="shared" si="9"/>
        <v>水野 憲一</v>
      </c>
    </row>
    <row r="11" spans="1:19" ht="13.5" customHeight="1">
      <c r="A11" s="193"/>
      <c r="B11" s="186"/>
      <c r="C11">
        <f t="shared" si="0"/>
        <v>31</v>
      </c>
      <c r="D11">
        <f t="shared" si="1"/>
        <v>1</v>
      </c>
      <c r="E11" s="187" t="str">
        <f>'★(結果)④番手別＆総合成績'!B15</f>
        <v>岐阜</v>
      </c>
      <c r="F11" s="187" t="str">
        <f>'★(結果)④番手別＆総合成績'!C15</f>
        <v>木村 隼人</v>
      </c>
      <c r="G11" s="187">
        <f>'★(結果)④番手別＆総合成績'!P15</f>
        <v>4</v>
      </c>
      <c r="H11" s="187">
        <f>'★(結果)④番手別＆総合成績'!Q15</f>
        <v>5</v>
      </c>
      <c r="I11" s="187">
        <f>'★(結果)④番手別＆総合成績'!R15</f>
        <v>833</v>
      </c>
      <c r="J11" s="187">
        <f>'★(結果)④番手別＆総合成績'!S15</f>
        <v>785</v>
      </c>
      <c r="K11" s="187">
        <f t="shared" si="2"/>
        <v>0.4444444444444444</v>
      </c>
      <c r="L11" s="187">
        <f t="shared" si="3"/>
        <v>92.55555555555556</v>
      </c>
      <c r="M11" s="188">
        <f t="shared" si="4"/>
        <v>87.22222222222223</v>
      </c>
      <c r="N11" s="196">
        <f t="shared" si="5"/>
        <v>44444925555468.336</v>
      </c>
      <c r="O11" s="187">
        <f>'★(結果)④番手別＆総合成績'!AR15</f>
        <v>241</v>
      </c>
      <c r="P11" t="e">
        <f t="shared" si="6"/>
        <v>#REF!</v>
      </c>
      <c r="Q11">
        <f t="shared" si="7"/>
        <v>60</v>
      </c>
      <c r="R11" t="str">
        <f t="shared" si="8"/>
        <v>岐阜</v>
      </c>
      <c r="S11" t="str">
        <f t="shared" si="9"/>
        <v>木村 隼人</v>
      </c>
    </row>
    <row r="12" spans="1:19" ht="13.5" customHeight="1">
      <c r="A12" s="193"/>
      <c r="B12" s="186"/>
      <c r="C12">
        <f t="shared" si="0"/>
        <v>32</v>
      </c>
      <c r="D12">
        <f t="shared" si="1"/>
        <v>1</v>
      </c>
      <c r="E12" s="187" t="str">
        <f>'★(結果)④番手別＆総合成績'!B16</f>
        <v>大阪B</v>
      </c>
      <c r="F12" s="187" t="str">
        <f>'★(結果)④番手別＆総合成績'!C16</f>
        <v>由本 拓</v>
      </c>
      <c r="G12" s="187">
        <f>'★(結果)④番手別＆総合成績'!P16</f>
        <v>4</v>
      </c>
      <c r="H12" s="187">
        <f>'★(結果)④番手別＆総合成績'!Q16</f>
        <v>5</v>
      </c>
      <c r="I12" s="187">
        <f>'★(結果)④番手別＆総合成績'!R16</f>
        <v>822</v>
      </c>
      <c r="J12" s="187">
        <f>'★(結果)④番手別＆総合成績'!S16</f>
        <v>853</v>
      </c>
      <c r="K12" s="187">
        <f t="shared" si="2"/>
        <v>0.4444444444444444</v>
      </c>
      <c r="L12" s="187">
        <f t="shared" si="3"/>
        <v>91.33333333333333</v>
      </c>
      <c r="M12" s="188">
        <f t="shared" si="4"/>
        <v>94.77777777777777</v>
      </c>
      <c r="N12" s="196">
        <f t="shared" si="5"/>
        <v>44444913333238.555</v>
      </c>
      <c r="O12" s="187">
        <f>'★(結果)④番手別＆総合成績'!AR16</f>
        <v>0</v>
      </c>
      <c r="P12" t="e">
        <f t="shared" si="6"/>
        <v>#REF!</v>
      </c>
      <c r="Q12">
        <f t="shared" si="7"/>
        <v>60</v>
      </c>
      <c r="R12" t="str">
        <f t="shared" si="8"/>
        <v>大阪B</v>
      </c>
      <c r="S12" t="str">
        <f t="shared" si="9"/>
        <v>由本 拓</v>
      </c>
    </row>
    <row r="13" spans="1:19" ht="13.5" customHeight="1">
      <c r="A13" s="193"/>
      <c r="B13" s="186"/>
      <c r="C13">
        <f t="shared" si="0"/>
        <v>51</v>
      </c>
      <c r="D13">
        <f t="shared" si="1"/>
        <v>10</v>
      </c>
      <c r="E13" s="187" t="e">
        <f>'★(結果)④番手別＆総合成績'!#REF!</f>
        <v>#REF!</v>
      </c>
      <c r="F13" s="187" t="e">
        <f>'★(結果)④番手別＆総合成績'!#REF!</f>
        <v>#REF!</v>
      </c>
      <c r="G13" s="187" t="e">
        <f>'★(結果)④番手別＆総合成績'!#REF!</f>
        <v>#REF!</v>
      </c>
      <c r="H13" s="187" t="e">
        <f>'★(結果)④番手別＆総合成績'!#REF!</f>
        <v>#REF!</v>
      </c>
      <c r="I13" s="187" t="e">
        <f>'★(結果)④番手別＆総合成績'!#REF!</f>
        <v>#REF!</v>
      </c>
      <c r="J13" s="187" t="e">
        <f>'★(結果)④番手別＆総合成績'!#REF!</f>
        <v>#REF!</v>
      </c>
      <c r="K13" s="187" t="e">
        <f t="shared" si="2"/>
        <v>#REF!</v>
      </c>
      <c r="L13" s="187" t="e">
        <f t="shared" si="3"/>
        <v>#REF!</v>
      </c>
      <c r="M13" s="188" t="e">
        <f t="shared" si="4"/>
        <v>#REF!</v>
      </c>
      <c r="N13" s="196">
        <f t="shared" si="5"/>
        <v>0</v>
      </c>
      <c r="O13" s="187" t="e">
        <f>'★(結果)④番手別＆総合成績'!#REF!</f>
        <v>#REF!</v>
      </c>
      <c r="P13" t="e">
        <f t="shared" si="6"/>
        <v>#REF!</v>
      </c>
      <c r="Q13">
        <f t="shared" si="7"/>
        <v>60</v>
      </c>
      <c r="R13" t="e">
        <f t="shared" si="8"/>
        <v>#REF!</v>
      </c>
      <c r="S13" t="e">
        <f t="shared" si="9"/>
        <v>#REF!</v>
      </c>
    </row>
    <row r="14" spans="1:19" ht="13.5" customHeight="1">
      <c r="A14" s="193"/>
      <c r="B14" s="189"/>
      <c r="C14">
        <f t="shared" si="0"/>
        <v>51</v>
      </c>
      <c r="D14">
        <f t="shared" si="1"/>
        <v>10</v>
      </c>
      <c r="E14" s="190" t="e">
        <f>'★(結果)④番手別＆総合成績'!#REF!</f>
        <v>#REF!</v>
      </c>
      <c r="F14" s="190" t="e">
        <f>'★(結果)④番手別＆総合成績'!#REF!</f>
        <v>#REF!</v>
      </c>
      <c r="G14" s="190"/>
      <c r="H14" s="190"/>
      <c r="I14" s="190"/>
      <c r="J14" s="190"/>
      <c r="K14" s="190" t="e">
        <f t="shared" si="2"/>
        <v>#DIV/0!</v>
      </c>
      <c r="L14" s="190" t="e">
        <f t="shared" si="3"/>
        <v>#DIV/0!</v>
      </c>
      <c r="M14" s="191" t="e">
        <f t="shared" si="4"/>
        <v>#DIV/0!</v>
      </c>
      <c r="N14" s="196">
        <f t="shared" si="5"/>
        <v>0</v>
      </c>
      <c r="O14" s="190"/>
      <c r="P14" t="e">
        <f t="shared" si="6"/>
        <v>#REF!</v>
      </c>
      <c r="Q14">
        <f t="shared" si="7"/>
        <v>60</v>
      </c>
      <c r="R14" t="e">
        <f t="shared" si="8"/>
        <v>#REF!</v>
      </c>
      <c r="S14" t="e">
        <f t="shared" si="9"/>
        <v>#REF!</v>
      </c>
    </row>
    <row r="15" spans="1:19" ht="13.5" customHeight="1">
      <c r="A15" s="193"/>
      <c r="B15" s="182" t="s">
        <v>255</v>
      </c>
      <c r="C15">
        <f t="shared" si="0"/>
        <v>8</v>
      </c>
      <c r="D15">
        <f t="shared" si="1"/>
        <v>1</v>
      </c>
      <c r="E15" s="183" t="str">
        <f>'★(結果)④番手別＆総合成績'!B20</f>
        <v>兵庫</v>
      </c>
      <c r="F15" s="183" t="str">
        <f>'★(結果)④番手別＆総合成績'!C20</f>
        <v>堂園 雅也</v>
      </c>
      <c r="G15" s="183">
        <f>'★(結果)④番手別＆総合成績'!P20</f>
        <v>7</v>
      </c>
      <c r="H15" s="183">
        <f>'★(結果)④番手別＆総合成績'!Q20</f>
        <v>2</v>
      </c>
      <c r="I15" s="183">
        <f>'★(結果)④番手別＆総合成績'!R20</f>
        <v>917</v>
      </c>
      <c r="J15" s="183">
        <f>'★(結果)④番手別＆総合成績'!S20</f>
        <v>518</v>
      </c>
      <c r="K15" s="184">
        <f t="shared" si="2"/>
        <v>0.7777777777777778</v>
      </c>
      <c r="L15" s="183">
        <f t="shared" si="3"/>
        <v>101.88888888888889</v>
      </c>
      <c r="M15" s="185">
        <f t="shared" si="4"/>
        <v>57.55555555555556</v>
      </c>
      <c r="N15" s="196">
        <f t="shared" si="5"/>
        <v>77779018888831.33</v>
      </c>
      <c r="O15" s="183">
        <f>'★(結果)④番手別＆総合成績'!AR20</f>
        <v>227</v>
      </c>
      <c r="P15" t="e">
        <f t="shared" si="6"/>
        <v>#REF!</v>
      </c>
      <c r="Q15">
        <f t="shared" si="7"/>
        <v>60</v>
      </c>
      <c r="R15" t="str">
        <f t="shared" si="8"/>
        <v>兵庫</v>
      </c>
      <c r="S15" t="str">
        <f t="shared" si="9"/>
        <v>堂園 雅也</v>
      </c>
    </row>
    <row r="16" spans="1:19" ht="13.5" customHeight="1">
      <c r="A16" s="193"/>
      <c r="B16" s="186"/>
      <c r="C16">
        <f t="shared" si="0"/>
        <v>44</v>
      </c>
      <c r="D16">
        <f t="shared" si="1"/>
        <v>1</v>
      </c>
      <c r="E16" s="187" t="str">
        <f>'★(結果)④番手別＆総合成績'!B21</f>
        <v>愛知</v>
      </c>
      <c r="F16" s="187" t="str">
        <f>'★(結果)④番手別＆総合成績'!C21</f>
        <v>櫻井 崇之</v>
      </c>
      <c r="G16" s="187">
        <f>'★(結果)④番手別＆総合成績'!P21</f>
        <v>2</v>
      </c>
      <c r="H16" s="187">
        <f>'★(結果)④番手別＆総合成績'!Q21</f>
        <v>7</v>
      </c>
      <c r="I16" s="187">
        <f>'★(結果)④番手別＆総合成績'!R21</f>
        <v>758</v>
      </c>
      <c r="J16" s="187">
        <f>'★(結果)④番手別＆総合成績'!S21</f>
        <v>955</v>
      </c>
      <c r="K16" s="187">
        <f t="shared" si="2"/>
        <v>0.2222222222222222</v>
      </c>
      <c r="L16" s="187">
        <f t="shared" si="3"/>
        <v>84.22222222222223</v>
      </c>
      <c r="M16" s="188">
        <f t="shared" si="4"/>
        <v>106.11111111111111</v>
      </c>
      <c r="N16" s="196">
        <f t="shared" si="5"/>
        <v>22222842222116.113</v>
      </c>
      <c r="O16" s="187">
        <f>'★(結果)④番手別＆総合成績'!AR21</f>
        <v>0</v>
      </c>
      <c r="P16" t="e">
        <f t="shared" si="6"/>
        <v>#REF!</v>
      </c>
      <c r="Q16">
        <f t="shared" si="7"/>
        <v>60</v>
      </c>
      <c r="R16" t="str">
        <f t="shared" si="8"/>
        <v>愛知</v>
      </c>
      <c r="S16" t="str">
        <f t="shared" si="9"/>
        <v>櫻井 崇之</v>
      </c>
    </row>
    <row r="17" spans="1:19" ht="13.5" customHeight="1">
      <c r="A17" s="193"/>
      <c r="B17" s="186"/>
      <c r="C17">
        <f t="shared" si="0"/>
        <v>2</v>
      </c>
      <c r="D17">
        <f t="shared" si="1"/>
        <v>1</v>
      </c>
      <c r="E17" s="187" t="str">
        <f>'★(結果)④番手別＆総合成績'!B22</f>
        <v>京都</v>
      </c>
      <c r="F17" s="187" t="str">
        <f>'★(結果)④番手別＆総合成績'!C22</f>
        <v>田附 裕次</v>
      </c>
      <c r="G17" s="187">
        <f>'★(結果)④番手別＆総合成績'!P22</f>
        <v>7</v>
      </c>
      <c r="H17" s="187">
        <f>'★(結果)④番手別＆総合成績'!Q22</f>
        <v>2</v>
      </c>
      <c r="I17" s="187">
        <f>'★(結果)④番手別＆総合成績'!R22</f>
        <v>1013</v>
      </c>
      <c r="J17" s="187">
        <f>'★(結果)④番手別＆総合成績'!S22</f>
        <v>678</v>
      </c>
      <c r="K17" s="187">
        <f t="shared" si="2"/>
        <v>0.7777777777777778</v>
      </c>
      <c r="L17" s="187">
        <f t="shared" si="3"/>
        <v>112.55555555555556</v>
      </c>
      <c r="M17" s="188">
        <f t="shared" si="4"/>
        <v>75.33333333333333</v>
      </c>
      <c r="N17" s="196">
        <f t="shared" si="5"/>
        <v>77779125555480.23</v>
      </c>
      <c r="O17" s="187">
        <f>'★(結果)④番手別＆総合成績'!AR22</f>
        <v>0</v>
      </c>
      <c r="P17" t="e">
        <f t="shared" si="6"/>
        <v>#REF!</v>
      </c>
      <c r="Q17">
        <f t="shared" si="7"/>
        <v>60</v>
      </c>
      <c r="R17" t="str">
        <f t="shared" si="8"/>
        <v>京都</v>
      </c>
      <c r="S17" t="str">
        <f t="shared" si="9"/>
        <v>田附 裕次</v>
      </c>
    </row>
    <row r="18" spans="1:19" ht="13.5" customHeight="1">
      <c r="A18" s="193"/>
      <c r="B18" s="186"/>
      <c r="C18">
        <f t="shared" si="0"/>
        <v>14</v>
      </c>
      <c r="D18">
        <f t="shared" si="1"/>
        <v>1</v>
      </c>
      <c r="E18" s="187" t="str">
        <f>'★(結果)④番手別＆総合成績'!B23</f>
        <v>大阪A</v>
      </c>
      <c r="F18" s="187" t="str">
        <f>'★(結果)④番手別＆総合成績'!C23</f>
        <v>山岡 修二</v>
      </c>
      <c r="G18" s="187">
        <f>'★(結果)④番手別＆総合成績'!P23</f>
        <v>6</v>
      </c>
      <c r="H18" s="187">
        <f>'★(結果)④番手別＆総合成績'!Q23</f>
        <v>3</v>
      </c>
      <c r="I18" s="187">
        <f>'★(結果)④番手別＆総合成績'!R23</f>
        <v>859</v>
      </c>
      <c r="J18" s="187">
        <f>'★(結果)④番手別＆総合成績'!S23</f>
        <v>701</v>
      </c>
      <c r="K18" s="187">
        <f t="shared" si="2"/>
        <v>0.6666666666666666</v>
      </c>
      <c r="L18" s="187">
        <f t="shared" si="3"/>
        <v>95.44444444444444</v>
      </c>
      <c r="M18" s="188">
        <f t="shared" si="4"/>
        <v>77.88888888888889</v>
      </c>
      <c r="N18" s="196">
        <f t="shared" si="5"/>
        <v>66667954444366.555</v>
      </c>
      <c r="O18" s="187">
        <f>'★(結果)④番手別＆総合成績'!AR23</f>
        <v>10000</v>
      </c>
      <c r="P18" t="e">
        <f t="shared" si="6"/>
        <v>#REF!</v>
      </c>
      <c r="Q18">
        <f t="shared" si="7"/>
        <v>60</v>
      </c>
      <c r="R18" t="str">
        <f t="shared" si="8"/>
        <v>大阪A</v>
      </c>
      <c r="S18" t="str">
        <f t="shared" si="9"/>
        <v>山岡 修二</v>
      </c>
    </row>
    <row r="19" spans="1:19" ht="13.5" customHeight="1">
      <c r="A19" s="193"/>
      <c r="B19" s="186"/>
      <c r="C19">
        <f t="shared" si="0"/>
        <v>21</v>
      </c>
      <c r="D19">
        <f t="shared" si="1"/>
        <v>1</v>
      </c>
      <c r="E19" s="187" t="str">
        <f>'★(結果)④番手別＆総合成績'!B24</f>
        <v>和歌山</v>
      </c>
      <c r="F19" s="187" t="str">
        <f>'★(結果)④番手別＆総合成績'!C24</f>
        <v>末岡 修</v>
      </c>
      <c r="G19" s="187">
        <f>'★(結果)④番手別＆総合成績'!P24</f>
        <v>5</v>
      </c>
      <c r="H19" s="187">
        <f>'★(結果)④番手別＆総合成績'!Q24</f>
        <v>4</v>
      </c>
      <c r="I19" s="187">
        <f>'★(結果)④番手別＆総合成績'!R24</f>
        <v>868</v>
      </c>
      <c r="J19" s="187">
        <f>'★(結果)④番手別＆総合成績'!S24</f>
        <v>818</v>
      </c>
      <c r="K19" s="187">
        <f t="shared" si="2"/>
        <v>0.5555555555555556</v>
      </c>
      <c r="L19" s="187">
        <f t="shared" si="3"/>
        <v>96.44444444444444</v>
      </c>
      <c r="M19" s="188">
        <f t="shared" si="4"/>
        <v>90.88888888888889</v>
      </c>
      <c r="N19" s="196">
        <f t="shared" si="5"/>
        <v>55556964444353.56</v>
      </c>
      <c r="O19" s="187">
        <f>'★(結果)④番手別＆総合成績'!AR24</f>
        <v>0</v>
      </c>
      <c r="P19" t="e">
        <f t="shared" si="6"/>
        <v>#REF!</v>
      </c>
      <c r="Q19">
        <f t="shared" si="7"/>
        <v>60</v>
      </c>
      <c r="R19" t="str">
        <f t="shared" si="8"/>
        <v>和歌山</v>
      </c>
      <c r="S19" t="str">
        <f t="shared" si="9"/>
        <v>末岡 修</v>
      </c>
    </row>
    <row r="20" spans="1:19" ht="13.5" customHeight="1">
      <c r="A20" s="193"/>
      <c r="B20" s="186"/>
      <c r="C20">
        <f t="shared" si="0"/>
        <v>16</v>
      </c>
      <c r="D20">
        <f t="shared" si="1"/>
        <v>1</v>
      </c>
      <c r="E20" s="187" t="str">
        <f>'★(結果)④番手別＆総合成績'!B25</f>
        <v>滋賀</v>
      </c>
      <c r="F20" s="187" t="str">
        <f>'★(結果)④番手別＆総合成績'!C25</f>
        <v>大橋 義治</v>
      </c>
      <c r="G20" s="187">
        <f>'★(結果)④番手別＆総合成績'!P25</f>
        <v>5</v>
      </c>
      <c r="H20" s="187">
        <f>'★(結果)④番手別＆総合成績'!Q25</f>
        <v>4</v>
      </c>
      <c r="I20" s="187">
        <f>'★(結果)④番手別＆総合成績'!R25</f>
        <v>908</v>
      </c>
      <c r="J20" s="187">
        <f>'★(結果)④番手別＆総合成績'!S25</f>
        <v>902</v>
      </c>
      <c r="K20" s="187">
        <f t="shared" si="2"/>
        <v>0.5555555555555556</v>
      </c>
      <c r="L20" s="187">
        <f t="shared" si="3"/>
        <v>100.88888888888889</v>
      </c>
      <c r="M20" s="188">
        <f t="shared" si="4"/>
        <v>100.22222222222223</v>
      </c>
      <c r="N20" s="196">
        <f t="shared" si="5"/>
        <v>55557008888788.68</v>
      </c>
      <c r="O20" s="187">
        <f>'★(結果)④番手別＆総合成績'!AR25</f>
        <v>118</v>
      </c>
      <c r="P20" t="e">
        <f t="shared" si="6"/>
        <v>#REF!</v>
      </c>
      <c r="Q20">
        <f t="shared" si="7"/>
        <v>60</v>
      </c>
      <c r="R20" t="str">
        <f t="shared" si="8"/>
        <v>滋賀</v>
      </c>
      <c r="S20" t="str">
        <f t="shared" si="9"/>
        <v>大橋 義治</v>
      </c>
    </row>
    <row r="21" spans="1:19" ht="13.5" customHeight="1">
      <c r="A21" s="193"/>
      <c r="B21" s="186"/>
      <c r="C21">
        <f t="shared" si="0"/>
        <v>39</v>
      </c>
      <c r="D21">
        <f t="shared" si="1"/>
        <v>1</v>
      </c>
      <c r="E21" s="187" t="str">
        <f>'★(結果)④番手別＆総合成績'!B26</f>
        <v>奈良</v>
      </c>
      <c r="F21" s="187" t="str">
        <f>'★(結果)④番手別＆総合成績'!C26</f>
        <v>水田 賢宏</v>
      </c>
      <c r="G21" s="187">
        <f>'★(結果)④番手別＆総合成績'!P26</f>
        <v>3</v>
      </c>
      <c r="H21" s="187">
        <f>'★(結果)④番手別＆総合成績'!Q26</f>
        <v>6</v>
      </c>
      <c r="I21" s="187">
        <f>'★(結果)④番手別＆総合成績'!R26</f>
        <v>737</v>
      </c>
      <c r="J21" s="187">
        <f>'★(結果)④番手別＆総合成績'!S26</f>
        <v>1004</v>
      </c>
      <c r="K21" s="187">
        <f t="shared" si="2"/>
        <v>0.3333333333333333</v>
      </c>
      <c r="L21" s="187">
        <f t="shared" si="3"/>
        <v>81.88888888888889</v>
      </c>
      <c r="M21" s="188">
        <f t="shared" si="4"/>
        <v>111.55555555555556</v>
      </c>
      <c r="N21" s="196">
        <f t="shared" si="5"/>
        <v>33333818888777.336</v>
      </c>
      <c r="O21" s="187">
        <f>'★(結果)④番手別＆総合成績'!AR26</f>
        <v>117</v>
      </c>
      <c r="P21" t="e">
        <f t="shared" si="6"/>
        <v>#REF!</v>
      </c>
      <c r="Q21">
        <f t="shared" si="7"/>
        <v>60</v>
      </c>
      <c r="R21" t="str">
        <f t="shared" si="8"/>
        <v>奈良</v>
      </c>
      <c r="S21" t="str">
        <f t="shared" si="9"/>
        <v>水田 賢宏</v>
      </c>
    </row>
    <row r="22" spans="1:19" ht="13.5" customHeight="1">
      <c r="A22" s="193"/>
      <c r="B22" s="186"/>
      <c r="C22">
        <f t="shared" si="0"/>
        <v>20</v>
      </c>
      <c r="D22">
        <f t="shared" si="1"/>
        <v>1</v>
      </c>
      <c r="E22" s="187" t="str">
        <f>'★(結果)④番手別＆総合成績'!B27</f>
        <v>三重</v>
      </c>
      <c r="F22" s="187" t="str">
        <f>'★(結果)④番手別＆総合成績'!C27</f>
        <v>市川 裕貴</v>
      </c>
      <c r="G22" s="187">
        <f>'★(結果)④番手別＆総合成績'!P27</f>
        <v>5</v>
      </c>
      <c r="H22" s="187">
        <f>'★(結果)④番手別＆総合成績'!Q27</f>
        <v>4</v>
      </c>
      <c r="I22" s="187">
        <f>'★(結果)④番手別＆総合成績'!R27</f>
        <v>870</v>
      </c>
      <c r="J22" s="187">
        <f>'★(結果)④番手別＆総合成績'!S27</f>
        <v>656</v>
      </c>
      <c r="K22" s="187">
        <f t="shared" si="2"/>
        <v>0.5555555555555556</v>
      </c>
      <c r="L22" s="187">
        <f t="shared" si="3"/>
        <v>96.66666666666667</v>
      </c>
      <c r="M22" s="188">
        <f t="shared" si="4"/>
        <v>72.88888888888889</v>
      </c>
      <c r="N22" s="196">
        <f t="shared" si="5"/>
        <v>55556966666593.78</v>
      </c>
      <c r="O22" s="187">
        <f>'★(結果)④番手別＆総合成績'!AR27</f>
        <v>0</v>
      </c>
      <c r="P22" t="e">
        <f t="shared" si="6"/>
        <v>#REF!</v>
      </c>
      <c r="Q22">
        <f t="shared" si="7"/>
        <v>60</v>
      </c>
      <c r="R22" t="str">
        <f t="shared" si="8"/>
        <v>三重</v>
      </c>
      <c r="S22" t="str">
        <f t="shared" si="9"/>
        <v>市川 裕貴</v>
      </c>
    </row>
    <row r="23" spans="1:19" ht="13.5" customHeight="1">
      <c r="A23" s="193"/>
      <c r="B23" s="186"/>
      <c r="C23">
        <f t="shared" si="0"/>
        <v>41</v>
      </c>
      <c r="D23">
        <f t="shared" si="1"/>
        <v>1</v>
      </c>
      <c r="E23" s="187" t="str">
        <f>'★(結果)④番手別＆総合成績'!B28</f>
        <v>岐阜</v>
      </c>
      <c r="F23" s="187" t="str">
        <f>'★(結果)④番手別＆総合成績'!C28</f>
        <v>辻 和美</v>
      </c>
      <c r="G23" s="187">
        <f>'★(結果)④番手別＆総合成績'!P28</f>
        <v>3</v>
      </c>
      <c r="H23" s="187">
        <f>'★(結果)④番手別＆総合成績'!Q28</f>
        <v>6</v>
      </c>
      <c r="I23" s="187">
        <f>'★(結果)④番手別＆総合成績'!R28</f>
        <v>645</v>
      </c>
      <c r="J23" s="187">
        <f>'★(結果)④番手別＆総合成績'!S28</f>
        <v>1031</v>
      </c>
      <c r="K23" s="187">
        <f t="shared" si="2"/>
        <v>0.3333333333333333</v>
      </c>
      <c r="L23" s="187">
        <f t="shared" si="3"/>
        <v>71.66666666666667</v>
      </c>
      <c r="M23" s="188">
        <f t="shared" si="4"/>
        <v>114.55555555555556</v>
      </c>
      <c r="N23" s="196">
        <f t="shared" si="5"/>
        <v>33333716666552.113</v>
      </c>
      <c r="O23" s="187">
        <f>'★(結果)④番手別＆総合成績'!AR28</f>
        <v>0</v>
      </c>
      <c r="P23" t="e">
        <f t="shared" si="6"/>
        <v>#REF!</v>
      </c>
      <c r="Q23">
        <f t="shared" si="7"/>
        <v>60</v>
      </c>
      <c r="R23" t="str">
        <f t="shared" si="8"/>
        <v>岐阜</v>
      </c>
      <c r="S23" t="str">
        <f t="shared" si="9"/>
        <v>辻 和美</v>
      </c>
    </row>
    <row r="24" spans="1:19" ht="13.5" customHeight="1">
      <c r="A24" s="193"/>
      <c r="B24" s="186"/>
      <c r="C24">
        <f t="shared" si="0"/>
        <v>45</v>
      </c>
      <c r="D24">
        <f t="shared" si="1"/>
        <v>1</v>
      </c>
      <c r="E24" s="187" t="str">
        <f>'★(結果)④番手別＆総合成績'!B29</f>
        <v>大阪B</v>
      </c>
      <c r="F24" s="187" t="str">
        <f>'★(結果)④番手別＆総合成績'!C29</f>
        <v>西田 恵子</v>
      </c>
      <c r="G24" s="187">
        <f>'★(結果)④番手別＆総合成績'!P29</f>
        <v>2</v>
      </c>
      <c r="H24" s="187">
        <f>'★(結果)④番手別＆総合成績'!Q29</f>
        <v>7</v>
      </c>
      <c r="I24" s="187">
        <f>'★(結果)④番手別＆総合成績'!R29</f>
        <v>728</v>
      </c>
      <c r="J24" s="187">
        <f>'★(結果)④番手別＆総合成績'!S29</f>
        <v>1040</v>
      </c>
      <c r="K24" s="187">
        <f t="shared" si="2"/>
        <v>0.2222222222222222</v>
      </c>
      <c r="L24" s="187">
        <f t="shared" si="3"/>
        <v>80.88888888888889</v>
      </c>
      <c r="M24" s="188">
        <f t="shared" si="4"/>
        <v>115.55555555555556</v>
      </c>
      <c r="N24" s="196">
        <f t="shared" si="5"/>
        <v>22222808888773.336</v>
      </c>
      <c r="O24" s="187">
        <f>'★(結果)④番手別＆総合成績'!AR29</f>
        <v>0</v>
      </c>
      <c r="P24" t="e">
        <f t="shared" si="6"/>
        <v>#REF!</v>
      </c>
      <c r="Q24">
        <f t="shared" si="7"/>
        <v>60</v>
      </c>
      <c r="R24" t="str">
        <f t="shared" si="8"/>
        <v>大阪B</v>
      </c>
      <c r="S24" t="str">
        <f t="shared" si="9"/>
        <v>西田 恵子</v>
      </c>
    </row>
    <row r="25" spans="1:19" ht="13.5" customHeight="1">
      <c r="A25" s="193"/>
      <c r="B25" s="186"/>
      <c r="C25">
        <f t="shared" si="0"/>
        <v>51</v>
      </c>
      <c r="D25">
        <f t="shared" si="1"/>
        <v>10</v>
      </c>
      <c r="E25" s="187" t="e">
        <f>'★(結果)④番手別＆総合成績'!#REF!</f>
        <v>#REF!</v>
      </c>
      <c r="F25" s="187" t="e">
        <f>'★(結果)④番手別＆総合成績'!#REF!</f>
        <v>#REF!</v>
      </c>
      <c r="G25" s="187" t="e">
        <f>'★(結果)④番手別＆総合成績'!#REF!</f>
        <v>#REF!</v>
      </c>
      <c r="H25" s="187" t="e">
        <f>'★(結果)④番手別＆総合成績'!#REF!</f>
        <v>#REF!</v>
      </c>
      <c r="I25" s="187" t="e">
        <f>'★(結果)④番手別＆総合成績'!#REF!</f>
        <v>#REF!</v>
      </c>
      <c r="J25" s="187" t="e">
        <f>'★(結果)④番手別＆総合成績'!#REF!</f>
        <v>#REF!</v>
      </c>
      <c r="K25" s="187" t="e">
        <f t="shared" si="2"/>
        <v>#REF!</v>
      </c>
      <c r="L25" s="187" t="e">
        <f t="shared" si="3"/>
        <v>#REF!</v>
      </c>
      <c r="M25" s="188" t="e">
        <f t="shared" si="4"/>
        <v>#REF!</v>
      </c>
      <c r="N25" s="196">
        <f t="shared" si="5"/>
        <v>0</v>
      </c>
      <c r="O25" s="187" t="e">
        <f>'★(結果)④番手別＆総合成績'!#REF!</f>
        <v>#REF!</v>
      </c>
      <c r="P25" t="e">
        <f t="shared" si="6"/>
        <v>#REF!</v>
      </c>
      <c r="Q25">
        <f t="shared" si="7"/>
        <v>60</v>
      </c>
      <c r="R25" t="e">
        <f t="shared" si="8"/>
        <v>#REF!</v>
      </c>
      <c r="S25" t="e">
        <f t="shared" si="9"/>
        <v>#REF!</v>
      </c>
    </row>
    <row r="26" spans="1:19" ht="13.5" customHeight="1">
      <c r="A26" s="193"/>
      <c r="B26" s="189"/>
      <c r="C26">
        <f t="shared" si="0"/>
        <v>51</v>
      </c>
      <c r="D26">
        <f t="shared" si="1"/>
        <v>10</v>
      </c>
      <c r="E26" s="190" t="e">
        <f>'★(結果)④番手別＆総合成績'!#REF!</f>
        <v>#REF!</v>
      </c>
      <c r="F26" s="190" t="e">
        <f>'★(結果)④番手別＆総合成績'!#REF!</f>
        <v>#REF!</v>
      </c>
      <c r="G26" s="190" t="e">
        <f>'★(結果)④番手別＆総合成績'!#REF!</f>
        <v>#REF!</v>
      </c>
      <c r="H26" s="190" t="e">
        <f>'★(結果)④番手別＆総合成績'!#REF!</f>
        <v>#REF!</v>
      </c>
      <c r="I26" s="190" t="e">
        <f>'★(結果)④番手別＆総合成績'!#REF!</f>
        <v>#REF!</v>
      </c>
      <c r="J26" s="190" t="e">
        <f>'★(結果)④番手別＆総合成績'!#REF!</f>
        <v>#REF!</v>
      </c>
      <c r="K26" s="190" t="e">
        <f t="shared" si="2"/>
        <v>#REF!</v>
      </c>
      <c r="L26" s="190" t="e">
        <f t="shared" si="3"/>
        <v>#REF!</v>
      </c>
      <c r="M26" s="191" t="e">
        <f t="shared" si="4"/>
        <v>#REF!</v>
      </c>
      <c r="N26" s="196">
        <f t="shared" si="5"/>
        <v>0</v>
      </c>
      <c r="O26" s="190" t="e">
        <f>'★(結果)④番手別＆総合成績'!#REF!</f>
        <v>#REF!</v>
      </c>
      <c r="P26" t="e">
        <f t="shared" si="6"/>
        <v>#REF!</v>
      </c>
      <c r="Q26">
        <f t="shared" si="7"/>
        <v>60</v>
      </c>
      <c r="R26" t="e">
        <f t="shared" si="8"/>
        <v>#REF!</v>
      </c>
      <c r="S26" t="e">
        <f t="shared" si="9"/>
        <v>#REF!</v>
      </c>
    </row>
    <row r="27" spans="1:19" ht="13.5" customHeight="1">
      <c r="A27" s="193"/>
      <c r="B27" s="182" t="s">
        <v>256</v>
      </c>
      <c r="C27">
        <f t="shared" si="0"/>
        <v>29</v>
      </c>
      <c r="D27">
        <f t="shared" si="1"/>
        <v>1</v>
      </c>
      <c r="E27" s="183" t="str">
        <f>'★(結果)④番手別＆総合成績'!B33</f>
        <v>兵庫</v>
      </c>
      <c r="F27" s="183" t="str">
        <f>'★(結果)④番手別＆総合成績'!C33</f>
        <v>森 映智</v>
      </c>
      <c r="G27" s="183">
        <f>'★(結果)④番手別＆総合成績'!P33</f>
        <v>4</v>
      </c>
      <c r="H27" s="183">
        <f>'★(結果)④番手別＆総合成績'!Q33</f>
        <v>5</v>
      </c>
      <c r="I27" s="183">
        <f>'★(結果)④番手別＆総合成績'!R33</f>
        <v>870</v>
      </c>
      <c r="J27" s="183">
        <f>'★(結果)④番手別＆総合成績'!S33</f>
        <v>791</v>
      </c>
      <c r="K27" s="184">
        <f t="shared" si="2"/>
        <v>0.4444444444444444</v>
      </c>
      <c r="L27" s="183">
        <f t="shared" si="3"/>
        <v>96.66666666666667</v>
      </c>
      <c r="M27" s="185">
        <f t="shared" si="4"/>
        <v>87.88888888888889</v>
      </c>
      <c r="N27" s="196">
        <f t="shared" si="5"/>
        <v>44444966666578.77</v>
      </c>
      <c r="O27" s="183">
        <f>'★(結果)④番手別＆総合成績'!AR33</f>
        <v>119</v>
      </c>
      <c r="P27" t="e">
        <f t="shared" si="6"/>
        <v>#REF!</v>
      </c>
      <c r="Q27">
        <f t="shared" si="7"/>
        <v>60</v>
      </c>
      <c r="R27" t="str">
        <f t="shared" si="8"/>
        <v>兵庫</v>
      </c>
      <c r="S27" t="str">
        <f t="shared" si="9"/>
        <v>森 映智</v>
      </c>
    </row>
    <row r="28" spans="1:19" ht="13.5" customHeight="1">
      <c r="A28" s="193"/>
      <c r="B28" s="186"/>
      <c r="C28">
        <f t="shared" si="0"/>
        <v>22</v>
      </c>
      <c r="D28">
        <f t="shared" si="1"/>
        <v>1</v>
      </c>
      <c r="E28" s="187" t="str">
        <f>'★(結果)④番手別＆総合成績'!B34</f>
        <v>愛知</v>
      </c>
      <c r="F28" s="187" t="str">
        <f>'★(結果)④番手別＆総合成績'!C34</f>
        <v>野田 絢也</v>
      </c>
      <c r="G28" s="187">
        <f>'★(結果)④番手別＆総合成績'!P34</f>
        <v>5</v>
      </c>
      <c r="H28" s="187">
        <f>'★(結果)④番手別＆総合成績'!Q34</f>
        <v>4</v>
      </c>
      <c r="I28" s="187">
        <f>'★(結果)④番手別＆総合成績'!R34</f>
        <v>851</v>
      </c>
      <c r="J28" s="187">
        <f>'★(結果)④番手別＆総合成績'!S34</f>
        <v>840</v>
      </c>
      <c r="K28" s="187">
        <f t="shared" si="2"/>
        <v>0.5555555555555556</v>
      </c>
      <c r="L28" s="187">
        <f t="shared" si="3"/>
        <v>94.55555555555556</v>
      </c>
      <c r="M28" s="188">
        <f t="shared" si="4"/>
        <v>93.33333333333333</v>
      </c>
      <c r="N28" s="196">
        <f t="shared" si="5"/>
        <v>55556945555462.23</v>
      </c>
      <c r="O28" s="187">
        <f>'★(結果)④番手別＆総合成績'!AR34</f>
        <v>0</v>
      </c>
      <c r="P28" t="e">
        <f t="shared" si="6"/>
        <v>#REF!</v>
      </c>
      <c r="Q28">
        <f t="shared" si="7"/>
        <v>60</v>
      </c>
      <c r="R28" t="str">
        <f t="shared" si="8"/>
        <v>愛知</v>
      </c>
      <c r="S28" t="str">
        <f t="shared" si="9"/>
        <v>野田 絢也</v>
      </c>
    </row>
    <row r="29" spans="1:19" ht="13.5" customHeight="1">
      <c r="A29" s="193"/>
      <c r="B29" s="186"/>
      <c r="C29">
        <f t="shared" si="0"/>
        <v>3</v>
      </c>
      <c r="D29">
        <f t="shared" si="1"/>
        <v>1</v>
      </c>
      <c r="E29" s="187" t="str">
        <f>'★(結果)④番手別＆総合成績'!B35</f>
        <v>京都</v>
      </c>
      <c r="F29" s="187" t="str">
        <f>'★(結果)④番手別＆総合成績'!C35</f>
        <v>佐藤 雄吾</v>
      </c>
      <c r="G29" s="187">
        <f>'★(結果)④番手別＆総合成績'!P35</f>
        <v>7</v>
      </c>
      <c r="H29" s="187">
        <f>'★(結果)④番手別＆総合成績'!Q35</f>
        <v>2</v>
      </c>
      <c r="I29" s="187">
        <f>'★(結果)④番手別＆総合成績'!R35</f>
        <v>983</v>
      </c>
      <c r="J29" s="187">
        <f>'★(結果)④番手別＆総合成績'!S35</f>
        <v>664</v>
      </c>
      <c r="K29" s="187">
        <f t="shared" si="2"/>
        <v>0.7777777777777778</v>
      </c>
      <c r="L29" s="187">
        <f t="shared" si="3"/>
        <v>109.22222222222223</v>
      </c>
      <c r="M29" s="188">
        <f t="shared" si="4"/>
        <v>73.77777777777777</v>
      </c>
      <c r="N29" s="196">
        <f t="shared" si="5"/>
        <v>77779092222148.44</v>
      </c>
      <c r="O29" s="187">
        <f>'★(結果)④番手別＆総合成績'!AR35</f>
        <v>0</v>
      </c>
      <c r="P29" t="e">
        <f t="shared" si="6"/>
        <v>#REF!</v>
      </c>
      <c r="Q29">
        <f t="shared" si="7"/>
        <v>60</v>
      </c>
      <c r="R29" t="str">
        <f t="shared" si="8"/>
        <v>京都</v>
      </c>
      <c r="S29" t="str">
        <f t="shared" si="9"/>
        <v>佐藤 雄吾</v>
      </c>
    </row>
    <row r="30" spans="1:19" ht="13.5" customHeight="1">
      <c r="A30" s="193"/>
      <c r="B30" s="186"/>
      <c r="C30">
        <f t="shared" si="0"/>
        <v>10</v>
      </c>
      <c r="D30">
        <f t="shared" si="1"/>
        <v>1</v>
      </c>
      <c r="E30" s="187" t="str">
        <f>'★(結果)④番手別＆総合成績'!B36</f>
        <v>大阪A</v>
      </c>
      <c r="F30" s="187" t="str">
        <f>'★(結果)④番手別＆総合成績'!C36</f>
        <v>吉岡 保俊</v>
      </c>
      <c r="G30" s="187">
        <f>'★(結果)④番手別＆総合成績'!P36</f>
        <v>6</v>
      </c>
      <c r="H30" s="187">
        <f>'★(結果)④番手別＆総合成績'!Q36</f>
        <v>3</v>
      </c>
      <c r="I30" s="187">
        <f>'★(結果)④番手別＆総合成績'!R36</f>
        <v>899</v>
      </c>
      <c r="J30" s="187">
        <f>'★(結果)④番手別＆総合成績'!S36</f>
        <v>492</v>
      </c>
      <c r="K30" s="187">
        <f t="shared" si="2"/>
        <v>0.6666666666666666</v>
      </c>
      <c r="L30" s="187">
        <f t="shared" si="3"/>
        <v>99.88888888888889</v>
      </c>
      <c r="M30" s="188">
        <f t="shared" si="4"/>
        <v>54.666666666666664</v>
      </c>
      <c r="N30" s="196">
        <f t="shared" si="5"/>
        <v>66667998888834.23</v>
      </c>
      <c r="O30" s="187">
        <f>'★(結果)④番手別＆総合成績'!AR36</f>
        <v>346</v>
      </c>
      <c r="P30" t="e">
        <f t="shared" si="6"/>
        <v>#REF!</v>
      </c>
      <c r="Q30">
        <f t="shared" si="7"/>
        <v>60</v>
      </c>
      <c r="R30" t="str">
        <f t="shared" si="8"/>
        <v>大阪A</v>
      </c>
      <c r="S30" t="str">
        <f t="shared" si="9"/>
        <v>吉岡 保俊</v>
      </c>
    </row>
    <row r="31" spans="1:19" ht="13.5" customHeight="1">
      <c r="A31" s="193"/>
      <c r="B31" s="186"/>
      <c r="C31">
        <f t="shared" si="0"/>
        <v>11</v>
      </c>
      <c r="D31">
        <f t="shared" si="1"/>
        <v>1</v>
      </c>
      <c r="E31" s="187" t="str">
        <f>'★(結果)④番手別＆総合成績'!B37</f>
        <v>和歌山</v>
      </c>
      <c r="F31" s="187" t="str">
        <f>'★(結果)④番手別＆総合成績'!C37</f>
        <v>杉本 博章</v>
      </c>
      <c r="G31" s="187">
        <f>'★(結果)④番手別＆総合成績'!P37</f>
        <v>6</v>
      </c>
      <c r="H31" s="187">
        <f>'★(結果)④番手別＆総合成績'!Q37</f>
        <v>3</v>
      </c>
      <c r="I31" s="187">
        <f>'★(結果)④番手別＆総合成績'!R37</f>
        <v>887</v>
      </c>
      <c r="J31" s="187">
        <f>'★(結果)④番手別＆総合成績'!S37</f>
        <v>649</v>
      </c>
      <c r="K31" s="187">
        <f t="shared" si="2"/>
        <v>0.6666666666666666</v>
      </c>
      <c r="L31" s="187">
        <f t="shared" si="3"/>
        <v>98.55555555555556</v>
      </c>
      <c r="M31" s="188">
        <f t="shared" si="4"/>
        <v>72.11111111111111</v>
      </c>
      <c r="N31" s="196">
        <f t="shared" si="5"/>
        <v>66667985555483.445</v>
      </c>
      <c r="O31" s="187">
        <f>'★(結果)④番手別＆総合成績'!AR37</f>
        <v>123</v>
      </c>
      <c r="P31" t="e">
        <f t="shared" si="6"/>
        <v>#REF!</v>
      </c>
      <c r="Q31">
        <f t="shared" si="7"/>
        <v>60</v>
      </c>
      <c r="R31" t="str">
        <f t="shared" si="8"/>
        <v>和歌山</v>
      </c>
      <c r="S31" t="str">
        <f t="shared" si="9"/>
        <v>杉本 博章</v>
      </c>
    </row>
    <row r="32" spans="1:19" ht="13.5" customHeight="1">
      <c r="A32" s="193"/>
      <c r="B32" s="186"/>
      <c r="C32">
        <f t="shared" si="0"/>
        <v>43</v>
      </c>
      <c r="D32">
        <f t="shared" si="1"/>
        <v>1</v>
      </c>
      <c r="E32" s="187" t="str">
        <f>'★(結果)④番手別＆総合成績'!B38</f>
        <v>滋賀</v>
      </c>
      <c r="F32" s="187" t="str">
        <f>'★(結果)④番手別＆総合成績'!C38</f>
        <v>西峰 久祐</v>
      </c>
      <c r="G32" s="187">
        <f>'★(結果)④番手別＆総合成績'!P38</f>
        <v>3</v>
      </c>
      <c r="H32" s="187">
        <f>'★(結果)④番手別＆総合成績'!Q38</f>
        <v>6</v>
      </c>
      <c r="I32" s="187">
        <f>'★(結果)④番手別＆総合成績'!R38</f>
        <v>520</v>
      </c>
      <c r="J32" s="187">
        <f>'★(結果)④番手別＆総合成績'!S38</f>
        <v>857</v>
      </c>
      <c r="K32" s="187">
        <f t="shared" si="2"/>
        <v>0.3333333333333333</v>
      </c>
      <c r="L32" s="187">
        <f t="shared" si="3"/>
        <v>57.77777777777778</v>
      </c>
      <c r="M32" s="188">
        <f t="shared" si="4"/>
        <v>95.22222222222223</v>
      </c>
      <c r="N32" s="196">
        <f t="shared" si="5"/>
        <v>33333577777682.555</v>
      </c>
      <c r="O32" s="187">
        <f>'★(結果)④番手別＆総合成績'!AR38</f>
        <v>0</v>
      </c>
      <c r="P32" t="e">
        <f t="shared" si="6"/>
        <v>#REF!</v>
      </c>
      <c r="Q32">
        <f t="shared" si="7"/>
        <v>60</v>
      </c>
      <c r="R32" t="str">
        <f t="shared" si="8"/>
        <v>滋賀</v>
      </c>
      <c r="S32" t="str">
        <f t="shared" si="9"/>
        <v>西峰 久祐</v>
      </c>
    </row>
    <row r="33" spans="1:19" ht="13.5" customHeight="1">
      <c r="A33" s="193"/>
      <c r="B33" s="186"/>
      <c r="C33">
        <f t="shared" si="0"/>
        <v>49</v>
      </c>
      <c r="D33">
        <f t="shared" si="1"/>
        <v>1</v>
      </c>
      <c r="E33" s="187" t="str">
        <f>'★(結果)④番手別＆総合成績'!B39</f>
        <v>奈良</v>
      </c>
      <c r="F33" s="187" t="str">
        <f>'★(結果)④番手別＆総合成績'!C39</f>
        <v>長谷川 進</v>
      </c>
      <c r="G33" s="187">
        <f>'★(結果)④番手別＆総合成績'!P39</f>
        <v>1</v>
      </c>
      <c r="H33" s="187">
        <f>'★(結果)④番手別＆総合成績'!Q39</f>
        <v>8</v>
      </c>
      <c r="I33" s="187">
        <f>'★(結果)④番手別＆総合成績'!R39</f>
        <v>429</v>
      </c>
      <c r="J33" s="187">
        <f>'★(結果)④番手別＆総合成績'!S39</f>
        <v>1056</v>
      </c>
      <c r="K33" s="187">
        <f t="shared" si="2"/>
        <v>0.1111111111111111</v>
      </c>
      <c r="L33" s="187">
        <f t="shared" si="3"/>
        <v>47.666666666666664</v>
      </c>
      <c r="M33" s="188">
        <f t="shared" si="4"/>
        <v>117.33333333333333</v>
      </c>
      <c r="N33" s="196">
        <f t="shared" si="5"/>
        <v>11111476666549.332</v>
      </c>
      <c r="O33" s="187">
        <f>'★(結果)④番手別＆総合成績'!AR39</f>
        <v>0</v>
      </c>
      <c r="P33" t="e">
        <f t="shared" si="6"/>
        <v>#REF!</v>
      </c>
      <c r="Q33">
        <f t="shared" si="7"/>
        <v>60</v>
      </c>
      <c r="R33" t="str">
        <f t="shared" si="8"/>
        <v>奈良</v>
      </c>
      <c r="S33" t="str">
        <f t="shared" si="9"/>
        <v>長谷川 進</v>
      </c>
    </row>
    <row r="34" spans="1:19" ht="13.5" customHeight="1">
      <c r="A34" s="193"/>
      <c r="B34" s="186"/>
      <c r="C34">
        <f t="shared" si="0"/>
        <v>24</v>
      </c>
      <c r="D34">
        <f t="shared" si="1"/>
        <v>1</v>
      </c>
      <c r="E34" s="187" t="str">
        <f>'★(結果)④番手別＆総合成績'!B40</f>
        <v>三重</v>
      </c>
      <c r="F34" s="187" t="str">
        <f>'★(結果)④番手別＆総合成績'!C40</f>
        <v>黒宮 健二</v>
      </c>
      <c r="G34" s="187">
        <f>'★(結果)④番手別＆総合成績'!P40</f>
        <v>5</v>
      </c>
      <c r="H34" s="187">
        <f>'★(結果)④番手別＆総合成績'!Q40</f>
        <v>4</v>
      </c>
      <c r="I34" s="187">
        <f>'★(結果)④番手別＆総合成績'!R40</f>
        <v>806</v>
      </c>
      <c r="J34" s="187">
        <f>'★(結果)④番手別＆総合成績'!S40</f>
        <v>767</v>
      </c>
      <c r="K34" s="187">
        <f t="shared" si="2"/>
        <v>0.5555555555555556</v>
      </c>
      <c r="L34" s="187">
        <f t="shared" si="3"/>
        <v>89.55555555555556</v>
      </c>
      <c r="M34" s="188">
        <f t="shared" si="4"/>
        <v>85.22222222222223</v>
      </c>
      <c r="N34" s="196">
        <f t="shared" si="5"/>
        <v>55556895555470.34</v>
      </c>
      <c r="O34" s="187">
        <f>'★(結果)④番手別＆総合成績'!AR40</f>
        <v>0</v>
      </c>
      <c r="P34" t="e">
        <f t="shared" si="6"/>
        <v>#REF!</v>
      </c>
      <c r="Q34">
        <f t="shared" si="7"/>
        <v>60</v>
      </c>
      <c r="R34" t="str">
        <f t="shared" si="8"/>
        <v>三重</v>
      </c>
      <c r="S34" t="str">
        <f t="shared" si="9"/>
        <v>黒宮 健二</v>
      </c>
    </row>
    <row r="35" spans="1:19" ht="13.5" customHeight="1">
      <c r="A35" s="193"/>
      <c r="B35" s="186"/>
      <c r="C35">
        <f aca="true" t="shared" si="10" ref="C35:C62">RANK(N35,$N$3:$N$62)</f>
        <v>23</v>
      </c>
      <c r="D35">
        <f aca="true" t="shared" si="11" ref="D35:D62">COUNTIF($C$3:$C$62,C35)</f>
        <v>1</v>
      </c>
      <c r="E35" s="187" t="str">
        <f>'★(結果)④番手別＆総合成績'!B41</f>
        <v>岐阜</v>
      </c>
      <c r="F35" s="187" t="str">
        <f>'★(結果)④番手別＆総合成績'!C41</f>
        <v>徳永 修児</v>
      </c>
      <c r="G35" s="187">
        <f>'★(結果)④番手別＆総合成績'!P41</f>
        <v>5</v>
      </c>
      <c r="H35" s="187">
        <f>'★(結果)④番手別＆総合成績'!Q41</f>
        <v>4</v>
      </c>
      <c r="I35" s="187">
        <f>'★(結果)④番手別＆総合成績'!R41</f>
        <v>810</v>
      </c>
      <c r="J35" s="187">
        <f>'★(結果)④番手別＆総合成績'!S41</f>
        <v>690</v>
      </c>
      <c r="K35" s="187">
        <f aca="true" t="shared" si="12" ref="K35:K62">G35/(G35+H35)</f>
        <v>0.5555555555555556</v>
      </c>
      <c r="L35" s="187">
        <f aca="true" t="shared" si="13" ref="L35:L62">I35/(G35+H35)</f>
        <v>90</v>
      </c>
      <c r="M35" s="188">
        <f aca="true" t="shared" si="14" ref="M35:M62">J35/(G35+H35)</f>
        <v>76.66666666666667</v>
      </c>
      <c r="N35" s="196">
        <f aca="true" t="shared" si="15" ref="N35:N62">IF(ISERROR(ROUND(K35,5)*100000000000000+L35),0,ROUND(K35,5)*100000000000000+L35*10000000-M35)</f>
        <v>55556899999923.34</v>
      </c>
      <c r="O35" s="187">
        <f>'★(結果)④番手別＆総合成績'!AR41</f>
        <v>120</v>
      </c>
      <c r="P35" t="e">
        <f aca="true" t="shared" si="16" ref="P35:P62">RANK(O35,$O$3:$O$62)</f>
        <v>#REF!</v>
      </c>
      <c r="Q35">
        <f aca="true" t="shared" si="17" ref="Q35:Q62">COUNTIF($P$3:$P$62,P35)</f>
        <v>60</v>
      </c>
      <c r="R35" t="str">
        <f aca="true" t="shared" si="18" ref="R35:R62">E35</f>
        <v>岐阜</v>
      </c>
      <c r="S35" t="str">
        <f aca="true" t="shared" si="19" ref="S35:S62">F35</f>
        <v>徳永 修児</v>
      </c>
    </row>
    <row r="36" spans="1:19" ht="13.5" customHeight="1">
      <c r="A36" s="193"/>
      <c r="B36" s="186"/>
      <c r="C36">
        <f t="shared" si="10"/>
        <v>42</v>
      </c>
      <c r="D36">
        <f t="shared" si="11"/>
        <v>1</v>
      </c>
      <c r="E36" s="187" t="str">
        <f>'★(結果)④番手別＆総合成績'!B42</f>
        <v>大阪B</v>
      </c>
      <c r="F36" s="187" t="str">
        <f>'★(結果)④番手別＆総合成績'!C42</f>
        <v>野村 宗司</v>
      </c>
      <c r="G36" s="187">
        <f>'★(結果)④番手別＆総合成績'!P42</f>
        <v>3</v>
      </c>
      <c r="H36" s="187">
        <f>'★(結果)④番手別＆総合成績'!Q42</f>
        <v>6</v>
      </c>
      <c r="I36" s="187">
        <f>'★(結果)④番手別＆総合成績'!R42</f>
        <v>600</v>
      </c>
      <c r="J36" s="187">
        <f>'★(結果)④番手別＆総合成績'!S42</f>
        <v>849</v>
      </c>
      <c r="K36" s="187">
        <f t="shared" si="12"/>
        <v>0.3333333333333333</v>
      </c>
      <c r="L36" s="187">
        <f t="shared" si="13"/>
        <v>66.66666666666667</v>
      </c>
      <c r="M36" s="188">
        <f t="shared" si="14"/>
        <v>94.33333333333333</v>
      </c>
      <c r="N36" s="196">
        <f t="shared" si="15"/>
        <v>33333666666572.336</v>
      </c>
      <c r="O36" s="187">
        <f>'★(結果)④番手別＆総合成績'!AR42</f>
        <v>0</v>
      </c>
      <c r="P36" t="e">
        <f t="shared" si="16"/>
        <v>#REF!</v>
      </c>
      <c r="Q36">
        <f t="shared" si="17"/>
        <v>60</v>
      </c>
      <c r="R36" t="str">
        <f t="shared" si="18"/>
        <v>大阪B</v>
      </c>
      <c r="S36" t="str">
        <f t="shared" si="19"/>
        <v>野村 宗司</v>
      </c>
    </row>
    <row r="37" spans="1:19" ht="13.5" customHeight="1">
      <c r="A37" s="193"/>
      <c r="B37" s="186"/>
      <c r="C37">
        <f t="shared" si="10"/>
        <v>51</v>
      </c>
      <c r="D37">
        <f t="shared" si="11"/>
        <v>10</v>
      </c>
      <c r="E37" s="187" t="e">
        <f>'★(結果)④番手別＆総合成績'!#REF!</f>
        <v>#REF!</v>
      </c>
      <c r="F37" s="187" t="e">
        <f>'★(結果)④番手別＆総合成績'!#REF!</f>
        <v>#REF!</v>
      </c>
      <c r="G37" s="187" t="e">
        <f>'★(結果)④番手別＆総合成績'!#REF!</f>
        <v>#REF!</v>
      </c>
      <c r="H37" s="187" t="e">
        <f>'★(結果)④番手別＆総合成績'!#REF!</f>
        <v>#REF!</v>
      </c>
      <c r="I37" s="187" t="e">
        <f>'★(結果)④番手別＆総合成績'!#REF!</f>
        <v>#REF!</v>
      </c>
      <c r="J37" s="187" t="e">
        <f>'★(結果)④番手別＆総合成績'!#REF!</f>
        <v>#REF!</v>
      </c>
      <c r="K37" s="187" t="e">
        <f t="shared" si="12"/>
        <v>#REF!</v>
      </c>
      <c r="L37" s="187" t="e">
        <f t="shared" si="13"/>
        <v>#REF!</v>
      </c>
      <c r="M37" s="188" t="e">
        <f t="shared" si="14"/>
        <v>#REF!</v>
      </c>
      <c r="N37" s="196">
        <f t="shared" si="15"/>
        <v>0</v>
      </c>
      <c r="O37" s="187" t="e">
        <f>'★(結果)④番手別＆総合成績'!#REF!</f>
        <v>#REF!</v>
      </c>
      <c r="P37" t="e">
        <f t="shared" si="16"/>
        <v>#REF!</v>
      </c>
      <c r="Q37">
        <f t="shared" si="17"/>
        <v>60</v>
      </c>
      <c r="R37" t="e">
        <f t="shared" si="18"/>
        <v>#REF!</v>
      </c>
      <c r="S37" t="e">
        <f t="shared" si="19"/>
        <v>#REF!</v>
      </c>
    </row>
    <row r="38" spans="1:19" ht="13.5" customHeight="1">
      <c r="A38" s="193"/>
      <c r="B38" s="189"/>
      <c r="C38">
        <f t="shared" si="10"/>
        <v>51</v>
      </c>
      <c r="D38">
        <f t="shared" si="11"/>
        <v>10</v>
      </c>
      <c r="E38" s="190" t="e">
        <f>'★(結果)④番手別＆総合成績'!#REF!</f>
        <v>#REF!</v>
      </c>
      <c r="F38" s="190" t="e">
        <f>'★(結果)④番手別＆総合成績'!#REF!</f>
        <v>#REF!</v>
      </c>
      <c r="G38" s="190" t="e">
        <f>'★(結果)④番手別＆総合成績'!#REF!</f>
        <v>#REF!</v>
      </c>
      <c r="H38" s="190" t="e">
        <f>'★(結果)④番手別＆総合成績'!#REF!</f>
        <v>#REF!</v>
      </c>
      <c r="I38" s="190" t="e">
        <f>'★(結果)④番手別＆総合成績'!#REF!</f>
        <v>#REF!</v>
      </c>
      <c r="J38" s="190" t="e">
        <f>'★(結果)④番手別＆総合成績'!#REF!</f>
        <v>#REF!</v>
      </c>
      <c r="K38" s="190" t="e">
        <f t="shared" si="12"/>
        <v>#REF!</v>
      </c>
      <c r="L38" s="190" t="e">
        <f t="shared" si="13"/>
        <v>#REF!</v>
      </c>
      <c r="M38" s="191" t="e">
        <f t="shared" si="14"/>
        <v>#REF!</v>
      </c>
      <c r="N38" s="196">
        <f t="shared" si="15"/>
        <v>0</v>
      </c>
      <c r="O38" s="190" t="e">
        <f>'★(結果)④番手別＆総合成績'!#REF!</f>
        <v>#REF!</v>
      </c>
      <c r="P38" t="e">
        <f t="shared" si="16"/>
        <v>#REF!</v>
      </c>
      <c r="Q38">
        <f t="shared" si="17"/>
        <v>60</v>
      </c>
      <c r="R38" t="e">
        <f t="shared" si="18"/>
        <v>#REF!</v>
      </c>
      <c r="S38" t="e">
        <f t="shared" si="19"/>
        <v>#REF!</v>
      </c>
    </row>
    <row r="39" spans="1:19" ht="13.5" customHeight="1">
      <c r="A39" s="193"/>
      <c r="B39" s="182" t="s">
        <v>257</v>
      </c>
      <c r="C39">
        <f t="shared" si="10"/>
        <v>19</v>
      </c>
      <c r="D39">
        <f t="shared" si="11"/>
        <v>1</v>
      </c>
      <c r="E39" s="183" t="str">
        <f>'★(結果)④番手別＆総合成績'!B46</f>
        <v>兵庫</v>
      </c>
      <c r="F39" s="183" t="str">
        <f>'★(結果)④番手別＆総合成績'!C46</f>
        <v>白澤 雄一郎</v>
      </c>
      <c r="G39" s="183">
        <f>'★(結果)④番手別＆総合成績'!P46</f>
        <v>5</v>
      </c>
      <c r="H39" s="183">
        <f>'★(結果)④番手別＆総合成績'!Q46</f>
        <v>4</v>
      </c>
      <c r="I39" s="183">
        <f>'★(結果)④番手別＆総合成績'!R46</f>
        <v>883</v>
      </c>
      <c r="J39" s="183">
        <f>'★(結果)④番手別＆総合成績'!S46</f>
        <v>670</v>
      </c>
      <c r="K39" s="184">
        <f t="shared" si="12"/>
        <v>0.5555555555555556</v>
      </c>
      <c r="L39" s="183">
        <f t="shared" si="13"/>
        <v>98.11111111111111</v>
      </c>
      <c r="M39" s="185">
        <f t="shared" si="14"/>
        <v>74.44444444444444</v>
      </c>
      <c r="N39" s="196">
        <f t="shared" si="15"/>
        <v>55556981111036.67</v>
      </c>
      <c r="O39" s="183">
        <f>'★(結果)④番手別＆総合成績'!AR46</f>
        <v>0</v>
      </c>
      <c r="P39" t="e">
        <f t="shared" si="16"/>
        <v>#REF!</v>
      </c>
      <c r="Q39">
        <f t="shared" si="17"/>
        <v>60</v>
      </c>
      <c r="R39" t="str">
        <f t="shared" si="18"/>
        <v>兵庫</v>
      </c>
      <c r="S39" t="str">
        <f t="shared" si="19"/>
        <v>白澤 雄一郎</v>
      </c>
    </row>
    <row r="40" spans="1:19" ht="13.5" customHeight="1">
      <c r="A40" s="193"/>
      <c r="B40" s="186"/>
      <c r="C40">
        <f t="shared" si="10"/>
        <v>7</v>
      </c>
      <c r="D40">
        <f t="shared" si="11"/>
        <v>1</v>
      </c>
      <c r="E40" s="187" t="str">
        <f>'★(結果)④番手別＆総合成績'!B47</f>
        <v>愛知</v>
      </c>
      <c r="F40" s="187" t="str">
        <f>'★(結果)④番手別＆総合成績'!C47</f>
        <v>近藤 智靖</v>
      </c>
      <c r="G40" s="187">
        <f>'★(結果)④番手別＆総合成績'!P47</f>
        <v>7</v>
      </c>
      <c r="H40" s="187">
        <f>'★(結果)④番手別＆総合成績'!Q47</f>
        <v>2</v>
      </c>
      <c r="I40" s="187">
        <f>'★(結果)④番手別＆総合成績'!R47</f>
        <v>924</v>
      </c>
      <c r="J40" s="187">
        <f>'★(結果)④番手別＆総合成績'!S47</f>
        <v>806</v>
      </c>
      <c r="K40" s="187">
        <f t="shared" si="12"/>
        <v>0.7777777777777778</v>
      </c>
      <c r="L40" s="187">
        <f t="shared" si="13"/>
        <v>102.66666666666667</v>
      </c>
      <c r="M40" s="188">
        <f t="shared" si="14"/>
        <v>89.55555555555556</v>
      </c>
      <c r="N40" s="196">
        <f t="shared" si="15"/>
        <v>77779026666577.11</v>
      </c>
      <c r="O40" s="187">
        <f>'★(結果)④番手別＆総合成績'!AR47</f>
        <v>102</v>
      </c>
      <c r="P40" t="e">
        <f t="shared" si="16"/>
        <v>#REF!</v>
      </c>
      <c r="Q40">
        <f t="shared" si="17"/>
        <v>60</v>
      </c>
      <c r="R40" t="str">
        <f t="shared" si="18"/>
        <v>愛知</v>
      </c>
      <c r="S40" t="str">
        <f t="shared" si="19"/>
        <v>近藤 智靖</v>
      </c>
    </row>
    <row r="41" spans="1:19" ht="13.5" customHeight="1">
      <c r="A41" s="193"/>
      <c r="B41" s="186"/>
      <c r="C41">
        <f t="shared" si="10"/>
        <v>25</v>
      </c>
      <c r="D41">
        <f t="shared" si="11"/>
        <v>1</v>
      </c>
      <c r="E41" s="187" t="str">
        <f>'★(結果)④番手別＆総合成績'!B48</f>
        <v>京都</v>
      </c>
      <c r="F41" s="187" t="str">
        <f>'★(結果)④番手別＆総合成績'!C48</f>
        <v>加藤 秀万</v>
      </c>
      <c r="G41" s="187">
        <f>'★(結果)④番手別＆総合成績'!P48</f>
        <v>5</v>
      </c>
      <c r="H41" s="187">
        <f>'★(結果)④番手別＆総合成績'!Q48</f>
        <v>4</v>
      </c>
      <c r="I41" s="187">
        <f>'★(結果)④番手別＆総合成績'!R48</f>
        <v>786</v>
      </c>
      <c r="J41" s="187">
        <f>'★(結果)④番手別＆総合成績'!S48</f>
        <v>756</v>
      </c>
      <c r="K41" s="187">
        <f t="shared" si="12"/>
        <v>0.5555555555555556</v>
      </c>
      <c r="L41" s="187">
        <f t="shared" si="13"/>
        <v>87.33333333333333</v>
      </c>
      <c r="M41" s="188">
        <f t="shared" si="14"/>
        <v>84</v>
      </c>
      <c r="N41" s="196">
        <f t="shared" si="15"/>
        <v>55556873333249.34</v>
      </c>
      <c r="O41" s="187">
        <f>'★(結果)④番手別＆総合成績'!AR48</f>
        <v>0</v>
      </c>
      <c r="P41" t="e">
        <f t="shared" si="16"/>
        <v>#REF!</v>
      </c>
      <c r="Q41">
        <f t="shared" si="17"/>
        <v>60</v>
      </c>
      <c r="R41" t="str">
        <f t="shared" si="18"/>
        <v>京都</v>
      </c>
      <c r="S41" t="str">
        <f t="shared" si="19"/>
        <v>加藤 秀万</v>
      </c>
    </row>
    <row r="42" spans="1:19" ht="13.5" customHeight="1">
      <c r="A42" s="193"/>
      <c r="B42" s="186"/>
      <c r="C42">
        <f t="shared" si="10"/>
        <v>6</v>
      </c>
      <c r="D42">
        <f t="shared" si="11"/>
        <v>1</v>
      </c>
      <c r="E42" s="187" t="str">
        <f>'★(結果)④番手別＆総合成績'!B49</f>
        <v>大阪A</v>
      </c>
      <c r="F42" s="187" t="str">
        <f>'★(結果)④番手別＆総合成績'!C49</f>
        <v>乾 伸綱</v>
      </c>
      <c r="G42" s="187">
        <f>'★(結果)④番手別＆総合成績'!P49</f>
        <v>7</v>
      </c>
      <c r="H42" s="187">
        <f>'★(結果)④番手別＆総合成績'!Q49</f>
        <v>2</v>
      </c>
      <c r="I42" s="187">
        <f>'★(結果)④番手別＆総合成績'!R49</f>
        <v>947</v>
      </c>
      <c r="J42" s="187">
        <f>'★(結果)④番手別＆総合成績'!S49</f>
        <v>615</v>
      </c>
      <c r="K42" s="187">
        <f t="shared" si="12"/>
        <v>0.7777777777777778</v>
      </c>
      <c r="L42" s="187">
        <f t="shared" si="13"/>
        <v>105.22222222222223</v>
      </c>
      <c r="M42" s="188">
        <f t="shared" si="14"/>
        <v>68.33333333333333</v>
      </c>
      <c r="N42" s="196">
        <f t="shared" si="15"/>
        <v>77779052222153.89</v>
      </c>
      <c r="O42" s="187">
        <f>'★(結果)④番手別＆総合成績'!AR49</f>
        <v>0</v>
      </c>
      <c r="P42" t="e">
        <f t="shared" si="16"/>
        <v>#REF!</v>
      </c>
      <c r="Q42">
        <f t="shared" si="17"/>
        <v>60</v>
      </c>
      <c r="R42" t="str">
        <f t="shared" si="18"/>
        <v>大阪A</v>
      </c>
      <c r="S42" t="str">
        <f t="shared" si="19"/>
        <v>乾 伸綱</v>
      </c>
    </row>
    <row r="43" spans="1:19" ht="13.5" customHeight="1">
      <c r="A43" s="193"/>
      <c r="B43" s="186"/>
      <c r="C43">
        <f t="shared" si="10"/>
        <v>50</v>
      </c>
      <c r="D43">
        <f t="shared" si="11"/>
        <v>1</v>
      </c>
      <c r="E43" s="187" t="str">
        <f>'★(結果)④番手別＆総合成績'!B50</f>
        <v>和歌山</v>
      </c>
      <c r="F43" s="187" t="str">
        <f>'★(結果)④番手別＆総合成績'!C50</f>
        <v>丹次 力良</v>
      </c>
      <c r="G43" s="187">
        <f>'★(結果)④番手別＆総合成績'!P50</f>
        <v>0</v>
      </c>
      <c r="H43" s="187">
        <f>'★(結果)④番手別＆総合成績'!Q50</f>
        <v>9</v>
      </c>
      <c r="I43" s="187">
        <f>'★(結果)④番手別＆総合成績'!R50</f>
        <v>576</v>
      </c>
      <c r="J43" s="187">
        <f>'★(結果)④番手別＆総合成績'!S50</f>
        <v>1080</v>
      </c>
      <c r="K43" s="187">
        <f t="shared" si="12"/>
        <v>0</v>
      </c>
      <c r="L43" s="187">
        <f t="shared" si="13"/>
        <v>64</v>
      </c>
      <c r="M43" s="188">
        <f t="shared" si="14"/>
        <v>120</v>
      </c>
      <c r="N43" s="196">
        <f t="shared" si="15"/>
        <v>639999880</v>
      </c>
      <c r="O43" s="187">
        <f>'★(結果)④番手別＆総合成績'!AR50</f>
        <v>0</v>
      </c>
      <c r="P43" t="e">
        <f t="shared" si="16"/>
        <v>#REF!</v>
      </c>
      <c r="Q43">
        <f t="shared" si="17"/>
        <v>60</v>
      </c>
      <c r="R43" t="str">
        <f t="shared" si="18"/>
        <v>和歌山</v>
      </c>
      <c r="S43" t="str">
        <f t="shared" si="19"/>
        <v>丹次 力良</v>
      </c>
    </row>
    <row r="44" spans="1:19" ht="13.5" customHeight="1">
      <c r="A44" s="193"/>
      <c r="B44" s="186"/>
      <c r="C44">
        <f t="shared" si="10"/>
        <v>30</v>
      </c>
      <c r="D44">
        <f t="shared" si="11"/>
        <v>1</v>
      </c>
      <c r="E44" s="187" t="str">
        <f>'★(結果)④番手別＆総合成績'!B51</f>
        <v>滋賀</v>
      </c>
      <c r="F44" s="187" t="str">
        <f>'★(結果)④番手別＆総合成績'!C51</f>
        <v>長田 智紀</v>
      </c>
      <c r="G44" s="187">
        <f>'★(結果)④番手別＆総合成績'!P51</f>
        <v>4</v>
      </c>
      <c r="H44" s="187">
        <f>'★(結果)④番手別＆総合成績'!Q51</f>
        <v>5</v>
      </c>
      <c r="I44" s="187">
        <f>'★(結果)④番手別＆総合成績'!R51</f>
        <v>858</v>
      </c>
      <c r="J44" s="187">
        <f>'★(結果)④番手別＆総合成績'!S51</f>
        <v>910</v>
      </c>
      <c r="K44" s="187">
        <f t="shared" si="12"/>
        <v>0.4444444444444444</v>
      </c>
      <c r="L44" s="187">
        <f t="shared" si="13"/>
        <v>95.33333333333333</v>
      </c>
      <c r="M44" s="188">
        <f t="shared" si="14"/>
        <v>101.11111111111111</v>
      </c>
      <c r="N44" s="196">
        <f t="shared" si="15"/>
        <v>44444953333232.23</v>
      </c>
      <c r="O44" s="187">
        <f>'★(結果)④番手別＆総合成績'!AR51</f>
        <v>0</v>
      </c>
      <c r="P44" t="e">
        <f t="shared" si="16"/>
        <v>#REF!</v>
      </c>
      <c r="Q44">
        <f t="shared" si="17"/>
        <v>60</v>
      </c>
      <c r="R44" t="str">
        <f t="shared" si="18"/>
        <v>滋賀</v>
      </c>
      <c r="S44" t="str">
        <f t="shared" si="19"/>
        <v>長田 智紀</v>
      </c>
    </row>
    <row r="45" spans="1:19" ht="13.5" customHeight="1">
      <c r="A45" s="193"/>
      <c r="B45" s="186"/>
      <c r="C45">
        <f t="shared" si="10"/>
        <v>38</v>
      </c>
      <c r="D45">
        <f t="shared" si="11"/>
        <v>1</v>
      </c>
      <c r="E45" s="187" t="str">
        <f>'★(結果)④番手別＆総合成績'!B52</f>
        <v>奈良</v>
      </c>
      <c r="F45" s="187" t="str">
        <f>'★(結果)④番手別＆総合成績'!C52</f>
        <v>植田 慎也</v>
      </c>
      <c r="G45" s="187">
        <f>'★(結果)④番手別＆総合成績'!P52</f>
        <v>3</v>
      </c>
      <c r="H45" s="187">
        <f>'★(結果)④番手別＆総合成績'!Q52</f>
        <v>6</v>
      </c>
      <c r="I45" s="187">
        <f>'★(結果)④番手別＆総合成績'!R52</f>
        <v>821</v>
      </c>
      <c r="J45" s="187">
        <f>'★(結果)④番手別＆総合成績'!S52</f>
        <v>965</v>
      </c>
      <c r="K45" s="187">
        <f t="shared" si="12"/>
        <v>0.3333333333333333</v>
      </c>
      <c r="L45" s="187">
        <f t="shared" si="13"/>
        <v>91.22222222222223</v>
      </c>
      <c r="M45" s="188">
        <f t="shared" si="14"/>
        <v>107.22222222222223</v>
      </c>
      <c r="N45" s="196">
        <f t="shared" si="15"/>
        <v>33333912222115</v>
      </c>
      <c r="O45" s="187">
        <f>'★(結果)④番手別＆総合成績'!AR52</f>
        <v>0</v>
      </c>
      <c r="P45" t="e">
        <f t="shared" si="16"/>
        <v>#REF!</v>
      </c>
      <c r="Q45">
        <f t="shared" si="17"/>
        <v>60</v>
      </c>
      <c r="R45" t="str">
        <f t="shared" si="18"/>
        <v>奈良</v>
      </c>
      <c r="S45" t="str">
        <f t="shared" si="19"/>
        <v>植田 慎也</v>
      </c>
    </row>
    <row r="46" spans="1:19" ht="13.5" customHeight="1">
      <c r="A46" s="193"/>
      <c r="B46" s="186"/>
      <c r="C46">
        <f t="shared" si="10"/>
        <v>9</v>
      </c>
      <c r="D46">
        <f t="shared" si="11"/>
        <v>1</v>
      </c>
      <c r="E46" s="187" t="str">
        <f>'★(結果)④番手別＆総合成績'!B53</f>
        <v>三重</v>
      </c>
      <c r="F46" s="187" t="str">
        <f>'★(結果)④番手別＆総合成績'!C53</f>
        <v>杉本 諭</v>
      </c>
      <c r="G46" s="187">
        <f>'★(結果)④番手別＆総合成績'!P53</f>
        <v>6</v>
      </c>
      <c r="H46" s="187">
        <f>'★(結果)④番手別＆総合成績'!Q53</f>
        <v>3</v>
      </c>
      <c r="I46" s="187">
        <f>'★(結果)④番手別＆総合成績'!R53</f>
        <v>996</v>
      </c>
      <c r="J46" s="187">
        <f>'★(結果)④番手別＆総合成績'!S53</f>
        <v>594</v>
      </c>
      <c r="K46" s="187">
        <f t="shared" si="12"/>
        <v>0.6666666666666666</v>
      </c>
      <c r="L46" s="187">
        <f t="shared" si="13"/>
        <v>110.66666666666667</v>
      </c>
      <c r="M46" s="188">
        <f t="shared" si="14"/>
        <v>66</v>
      </c>
      <c r="N46" s="196">
        <f t="shared" si="15"/>
        <v>66668106666600.664</v>
      </c>
      <c r="O46" s="187">
        <f>'★(結果)④番手別＆総合成績'!AR53</f>
        <v>0</v>
      </c>
      <c r="P46" t="e">
        <f t="shared" si="16"/>
        <v>#REF!</v>
      </c>
      <c r="Q46">
        <f t="shared" si="17"/>
        <v>60</v>
      </c>
      <c r="R46" t="str">
        <f t="shared" si="18"/>
        <v>三重</v>
      </c>
      <c r="S46" t="str">
        <f t="shared" si="19"/>
        <v>杉本 諭</v>
      </c>
    </row>
    <row r="47" spans="1:19" ht="13.5" customHeight="1">
      <c r="A47" s="193"/>
      <c r="B47" s="186"/>
      <c r="C47">
        <f t="shared" si="10"/>
        <v>34</v>
      </c>
      <c r="D47">
        <f t="shared" si="11"/>
        <v>1</v>
      </c>
      <c r="E47" s="187" t="str">
        <f>'★(結果)④番手別＆総合成績'!B54</f>
        <v>岐阜</v>
      </c>
      <c r="F47" s="187" t="str">
        <f>'★(結果)④番手別＆総合成績'!C54</f>
        <v>高橋 浩之</v>
      </c>
      <c r="G47" s="187">
        <f>'★(結果)④番手別＆総合成績'!P54</f>
        <v>4</v>
      </c>
      <c r="H47" s="187">
        <f>'★(結果)④番手別＆総合成績'!Q54</f>
        <v>5</v>
      </c>
      <c r="I47" s="187">
        <f>'★(結果)④番手別＆総合成績'!R54</f>
        <v>740</v>
      </c>
      <c r="J47" s="187">
        <f>'★(結果)④番手別＆総合成績'!S54</f>
        <v>889</v>
      </c>
      <c r="K47" s="187">
        <f t="shared" si="12"/>
        <v>0.4444444444444444</v>
      </c>
      <c r="L47" s="187">
        <f t="shared" si="13"/>
        <v>82.22222222222223</v>
      </c>
      <c r="M47" s="188">
        <f t="shared" si="14"/>
        <v>98.77777777777777</v>
      </c>
      <c r="N47" s="196">
        <f t="shared" si="15"/>
        <v>44444822222123.44</v>
      </c>
      <c r="O47" s="187">
        <f>'★(結果)④番手別＆総合成績'!AR54</f>
        <v>0</v>
      </c>
      <c r="P47" t="e">
        <f t="shared" si="16"/>
        <v>#REF!</v>
      </c>
      <c r="Q47">
        <f t="shared" si="17"/>
        <v>60</v>
      </c>
      <c r="R47" t="str">
        <f t="shared" si="18"/>
        <v>岐阜</v>
      </c>
      <c r="S47" t="str">
        <f t="shared" si="19"/>
        <v>高橋 浩之</v>
      </c>
    </row>
    <row r="48" spans="1:19" ht="13.5" customHeight="1">
      <c r="A48" s="193"/>
      <c r="B48" s="186"/>
      <c r="C48">
        <f t="shared" si="10"/>
        <v>35</v>
      </c>
      <c r="D48">
        <f t="shared" si="11"/>
        <v>1</v>
      </c>
      <c r="E48" s="187" t="str">
        <f>'★(結果)④番手別＆総合成績'!B55</f>
        <v>大阪B</v>
      </c>
      <c r="F48" s="187" t="str">
        <f>'★(結果)④番手別＆総合成績'!C55</f>
        <v>山崎 真紀子</v>
      </c>
      <c r="G48" s="187">
        <f>'★(結果)④番手別＆総合成績'!P55</f>
        <v>4</v>
      </c>
      <c r="H48" s="187">
        <f>'★(結果)④番手別＆総合成績'!Q55</f>
        <v>5</v>
      </c>
      <c r="I48" s="187">
        <f>'★(結果)④番手別＆総合成績'!R55</f>
        <v>675</v>
      </c>
      <c r="J48" s="187">
        <f>'★(結果)④番手別＆総合成績'!S55</f>
        <v>921</v>
      </c>
      <c r="K48" s="187">
        <f t="shared" si="12"/>
        <v>0.4444444444444444</v>
      </c>
      <c r="L48" s="187">
        <f t="shared" si="13"/>
        <v>75</v>
      </c>
      <c r="M48" s="188">
        <f t="shared" si="14"/>
        <v>102.33333333333333</v>
      </c>
      <c r="N48" s="196">
        <f t="shared" si="15"/>
        <v>44444749999897.664</v>
      </c>
      <c r="O48" s="187">
        <f>'★(結果)④番手別＆総合成績'!AR55</f>
        <v>0</v>
      </c>
      <c r="P48" t="e">
        <f t="shared" si="16"/>
        <v>#REF!</v>
      </c>
      <c r="Q48">
        <f t="shared" si="17"/>
        <v>60</v>
      </c>
      <c r="R48" t="str">
        <f t="shared" si="18"/>
        <v>大阪B</v>
      </c>
      <c r="S48" t="str">
        <f t="shared" si="19"/>
        <v>山崎 真紀子</v>
      </c>
    </row>
    <row r="49" spans="1:19" ht="13.5" customHeight="1">
      <c r="A49" s="193"/>
      <c r="B49" s="186"/>
      <c r="C49">
        <f t="shared" si="10"/>
        <v>51</v>
      </c>
      <c r="D49">
        <f t="shared" si="11"/>
        <v>10</v>
      </c>
      <c r="E49" s="187" t="e">
        <f>'★(結果)④番手別＆総合成績'!#REF!</f>
        <v>#REF!</v>
      </c>
      <c r="F49" s="187" t="e">
        <f>'★(結果)④番手別＆総合成績'!#REF!</f>
        <v>#REF!</v>
      </c>
      <c r="G49" s="187" t="e">
        <f>'★(結果)④番手別＆総合成績'!#REF!</f>
        <v>#REF!</v>
      </c>
      <c r="H49" s="187" t="e">
        <f>'★(結果)④番手別＆総合成績'!#REF!</f>
        <v>#REF!</v>
      </c>
      <c r="I49" s="187" t="e">
        <f>'★(結果)④番手別＆総合成績'!#REF!</f>
        <v>#REF!</v>
      </c>
      <c r="J49" s="187" t="e">
        <f>'★(結果)④番手別＆総合成績'!#REF!</f>
        <v>#REF!</v>
      </c>
      <c r="K49" s="187" t="e">
        <f t="shared" si="12"/>
        <v>#REF!</v>
      </c>
      <c r="L49" s="187" t="e">
        <f t="shared" si="13"/>
        <v>#REF!</v>
      </c>
      <c r="M49" s="188" t="e">
        <f t="shared" si="14"/>
        <v>#REF!</v>
      </c>
      <c r="N49" s="196">
        <f t="shared" si="15"/>
        <v>0</v>
      </c>
      <c r="O49" s="187" t="e">
        <f>'★(結果)④番手別＆総合成績'!#REF!</f>
        <v>#REF!</v>
      </c>
      <c r="P49" t="e">
        <f t="shared" si="16"/>
        <v>#REF!</v>
      </c>
      <c r="Q49">
        <f t="shared" si="17"/>
        <v>60</v>
      </c>
      <c r="R49" t="e">
        <f t="shared" si="18"/>
        <v>#REF!</v>
      </c>
      <c r="S49" t="e">
        <f t="shared" si="19"/>
        <v>#REF!</v>
      </c>
    </row>
    <row r="50" spans="1:19" ht="13.5" customHeight="1">
      <c r="A50" s="193"/>
      <c r="B50" s="189"/>
      <c r="C50">
        <f t="shared" si="10"/>
        <v>51</v>
      </c>
      <c r="D50">
        <f t="shared" si="11"/>
        <v>10</v>
      </c>
      <c r="E50" s="190" t="e">
        <f>'★(結果)④番手別＆総合成績'!#REF!</f>
        <v>#REF!</v>
      </c>
      <c r="F50" s="190" t="e">
        <f>'★(結果)④番手別＆総合成績'!#REF!</f>
        <v>#REF!</v>
      </c>
      <c r="G50" s="190" t="e">
        <f>'★(結果)④番手別＆総合成績'!#REF!</f>
        <v>#REF!</v>
      </c>
      <c r="H50" s="190" t="e">
        <f>'★(結果)④番手別＆総合成績'!#REF!</f>
        <v>#REF!</v>
      </c>
      <c r="I50" s="190" t="e">
        <f>'★(結果)④番手別＆総合成績'!#REF!</f>
        <v>#REF!</v>
      </c>
      <c r="J50" s="190" t="e">
        <f>'★(結果)④番手別＆総合成績'!#REF!</f>
        <v>#REF!</v>
      </c>
      <c r="K50" s="190" t="e">
        <f t="shared" si="12"/>
        <v>#REF!</v>
      </c>
      <c r="L50" s="190" t="e">
        <f t="shared" si="13"/>
        <v>#REF!</v>
      </c>
      <c r="M50" s="191" t="e">
        <f t="shared" si="14"/>
        <v>#REF!</v>
      </c>
      <c r="N50" s="196">
        <f t="shared" si="15"/>
        <v>0</v>
      </c>
      <c r="O50" s="190" t="e">
        <f>'★(結果)④番手別＆総合成績'!#REF!</f>
        <v>#REF!</v>
      </c>
      <c r="P50" t="e">
        <f t="shared" si="16"/>
        <v>#REF!</v>
      </c>
      <c r="Q50">
        <f t="shared" si="17"/>
        <v>60</v>
      </c>
      <c r="R50" t="e">
        <f t="shared" si="18"/>
        <v>#REF!</v>
      </c>
      <c r="S50" t="e">
        <f t="shared" si="19"/>
        <v>#REF!</v>
      </c>
    </row>
    <row r="51" spans="1:19" ht="13.5" customHeight="1">
      <c r="A51" s="193"/>
      <c r="B51" s="182" t="s">
        <v>258</v>
      </c>
      <c r="C51">
        <f t="shared" si="10"/>
        <v>37</v>
      </c>
      <c r="D51">
        <f t="shared" si="11"/>
        <v>1</v>
      </c>
      <c r="E51" s="183" t="str">
        <f>'★(結果)④番手別＆総合成績'!B59</f>
        <v>兵庫</v>
      </c>
      <c r="F51" s="183" t="str">
        <f>'★(結果)④番手別＆総合成績'!C59</f>
        <v>平井 洸志</v>
      </c>
      <c r="G51" s="183">
        <f>'★(結果)④番手別＆総合成績'!P59</f>
        <v>4</v>
      </c>
      <c r="H51" s="183">
        <f>'★(結果)④番手別＆総合成績'!Q59</f>
        <v>5</v>
      </c>
      <c r="I51" s="183">
        <f>'★(結果)④番手別＆総合成績'!R59</f>
        <v>556</v>
      </c>
      <c r="J51" s="183">
        <f>'★(結果)④番手別＆総合成績'!S59</f>
        <v>891</v>
      </c>
      <c r="K51" s="184">
        <f t="shared" si="12"/>
        <v>0.4444444444444444</v>
      </c>
      <c r="L51" s="183">
        <f t="shared" si="13"/>
        <v>61.77777777777778</v>
      </c>
      <c r="M51" s="185">
        <f t="shared" si="14"/>
        <v>99</v>
      </c>
      <c r="N51" s="196">
        <f t="shared" si="15"/>
        <v>44444617777678.78</v>
      </c>
      <c r="O51" s="183">
        <f>'★(結果)④番手別＆総合成績'!AR59</f>
        <v>0</v>
      </c>
      <c r="P51" t="e">
        <f t="shared" si="16"/>
        <v>#REF!</v>
      </c>
      <c r="Q51">
        <f t="shared" si="17"/>
        <v>60</v>
      </c>
      <c r="R51" t="str">
        <f t="shared" si="18"/>
        <v>兵庫</v>
      </c>
      <c r="S51" t="str">
        <f t="shared" si="19"/>
        <v>平井 洸志</v>
      </c>
    </row>
    <row r="52" spans="1:19" ht="13.5" customHeight="1">
      <c r="A52" s="193"/>
      <c r="B52" s="186"/>
      <c r="C52">
        <f t="shared" si="10"/>
        <v>26</v>
      </c>
      <c r="D52">
        <f t="shared" si="11"/>
        <v>1</v>
      </c>
      <c r="E52" s="187" t="str">
        <f>'★(結果)④番手別＆総合成績'!B60</f>
        <v>愛知</v>
      </c>
      <c r="F52" s="187" t="str">
        <f>'★(結果)④番手別＆総合成績'!C60</f>
        <v>島田 隆嗣</v>
      </c>
      <c r="G52" s="187">
        <f>'★(結果)④番手別＆総合成績'!P60</f>
        <v>5</v>
      </c>
      <c r="H52" s="187">
        <f>'★(結果)④番手別＆総合成績'!Q60</f>
        <v>4</v>
      </c>
      <c r="I52" s="187">
        <f>'★(結果)④番手別＆総合成績'!R60</f>
        <v>754</v>
      </c>
      <c r="J52" s="187">
        <f>'★(結果)④番手別＆総合成績'!S60</f>
        <v>798</v>
      </c>
      <c r="K52" s="187">
        <f t="shared" si="12"/>
        <v>0.5555555555555556</v>
      </c>
      <c r="L52" s="187">
        <f t="shared" si="13"/>
        <v>83.77777777777777</v>
      </c>
      <c r="M52" s="188">
        <f t="shared" si="14"/>
        <v>88.66666666666667</v>
      </c>
      <c r="N52" s="196">
        <f t="shared" si="15"/>
        <v>55556837777689.125</v>
      </c>
      <c r="O52" s="187">
        <f>'★(結果)④番手別＆総合成績'!AR60</f>
        <v>1000118</v>
      </c>
      <c r="P52" t="e">
        <f t="shared" si="16"/>
        <v>#REF!</v>
      </c>
      <c r="Q52">
        <f t="shared" si="17"/>
        <v>60</v>
      </c>
      <c r="R52" t="str">
        <f t="shared" si="18"/>
        <v>愛知</v>
      </c>
      <c r="S52" t="str">
        <f t="shared" si="19"/>
        <v>島田 隆嗣</v>
      </c>
    </row>
    <row r="53" spans="1:19" ht="13.5" customHeight="1">
      <c r="A53" s="193"/>
      <c r="B53" s="186"/>
      <c r="C53">
        <f t="shared" si="10"/>
        <v>33</v>
      </c>
      <c r="D53">
        <f t="shared" si="11"/>
        <v>1</v>
      </c>
      <c r="E53" s="187" t="str">
        <f>'★(結果)④番手別＆総合成績'!B61</f>
        <v>京都</v>
      </c>
      <c r="F53" s="187" t="str">
        <f>'★(結果)④番手別＆総合成績'!C61</f>
        <v>山下 直生</v>
      </c>
      <c r="G53" s="187">
        <f>'★(結果)④番手別＆総合成績'!P61</f>
        <v>4</v>
      </c>
      <c r="H53" s="187">
        <f>'★(結果)④番手別＆総合成績'!Q61</f>
        <v>5</v>
      </c>
      <c r="I53" s="187">
        <f>'★(結果)④番手別＆総合成績'!R61</f>
        <v>769</v>
      </c>
      <c r="J53" s="187">
        <f>'★(結果)④番手別＆総合成績'!S61</f>
        <v>747</v>
      </c>
      <c r="K53" s="187">
        <f t="shared" si="12"/>
        <v>0.4444444444444444</v>
      </c>
      <c r="L53" s="187">
        <f t="shared" si="13"/>
        <v>85.44444444444444</v>
      </c>
      <c r="M53" s="188">
        <f t="shared" si="14"/>
        <v>83</v>
      </c>
      <c r="N53" s="196">
        <f t="shared" si="15"/>
        <v>44444854444361.445</v>
      </c>
      <c r="O53" s="187">
        <f>'★(結果)④番手別＆総合成績'!AR61</f>
        <v>0</v>
      </c>
      <c r="P53" t="e">
        <f t="shared" si="16"/>
        <v>#REF!</v>
      </c>
      <c r="Q53">
        <f t="shared" si="17"/>
        <v>60</v>
      </c>
      <c r="R53" t="str">
        <f t="shared" si="18"/>
        <v>京都</v>
      </c>
      <c r="S53" t="str">
        <f t="shared" si="19"/>
        <v>山下 直生</v>
      </c>
    </row>
    <row r="54" spans="1:19" ht="13.5" customHeight="1">
      <c r="A54" s="193"/>
      <c r="B54" s="186"/>
      <c r="C54">
        <f t="shared" si="10"/>
        <v>1</v>
      </c>
      <c r="D54">
        <f t="shared" si="11"/>
        <v>1</v>
      </c>
      <c r="E54" s="187" t="str">
        <f>'★(結果)④番手別＆総合成績'!B62</f>
        <v>大阪A</v>
      </c>
      <c r="F54" s="187" t="str">
        <f>'★(結果)④番手別＆総合成績'!C62</f>
        <v>山田 玄英</v>
      </c>
      <c r="G54" s="187">
        <f>'★(結果)④番手別＆総合成績'!P62</f>
        <v>7</v>
      </c>
      <c r="H54" s="187">
        <f>'★(結果)④番手別＆総合成績'!Q62</f>
        <v>2</v>
      </c>
      <c r="I54" s="187">
        <f>'★(結果)④番手別＆総合成績'!R62</f>
        <v>1022</v>
      </c>
      <c r="J54" s="187">
        <f>'★(結果)④番手別＆総合成績'!S62</f>
        <v>566</v>
      </c>
      <c r="K54" s="187">
        <f t="shared" si="12"/>
        <v>0.7777777777777778</v>
      </c>
      <c r="L54" s="187">
        <f t="shared" si="13"/>
        <v>113.55555555555556</v>
      </c>
      <c r="M54" s="188">
        <f t="shared" si="14"/>
        <v>62.888888888888886</v>
      </c>
      <c r="N54" s="196">
        <f t="shared" si="15"/>
        <v>77779135555492.67</v>
      </c>
      <c r="O54" s="187">
        <f>'★(結果)④番手別＆総合成績'!AR62</f>
        <v>115</v>
      </c>
      <c r="P54" t="e">
        <f t="shared" si="16"/>
        <v>#REF!</v>
      </c>
      <c r="Q54">
        <f t="shared" si="17"/>
        <v>60</v>
      </c>
      <c r="R54" t="str">
        <f t="shared" si="18"/>
        <v>大阪A</v>
      </c>
      <c r="S54" t="str">
        <f t="shared" si="19"/>
        <v>山田 玄英</v>
      </c>
    </row>
    <row r="55" spans="1:19" ht="13.5" customHeight="1">
      <c r="A55" s="193"/>
      <c r="B55" s="186"/>
      <c r="C55">
        <f t="shared" si="10"/>
        <v>15</v>
      </c>
      <c r="D55">
        <f t="shared" si="11"/>
        <v>1</v>
      </c>
      <c r="E55" s="187" t="str">
        <f>'★(結果)④番手別＆総合成績'!B63</f>
        <v>和歌山</v>
      </c>
      <c r="F55" s="187" t="str">
        <f>'★(結果)④番手別＆総合成績'!C63</f>
        <v>和田 宗一郎</v>
      </c>
      <c r="G55" s="187">
        <f>'★(結果)④番手別＆総合成績'!P63</f>
        <v>5</v>
      </c>
      <c r="H55" s="187">
        <f>'★(結果)④番手別＆総合成績'!Q63</f>
        <v>4</v>
      </c>
      <c r="I55" s="187">
        <f>'★(結果)④番手別＆総合成績'!R63</f>
        <v>913</v>
      </c>
      <c r="J55" s="187">
        <f>'★(結果)④番手別＆総合成績'!S63</f>
        <v>858</v>
      </c>
      <c r="K55" s="187">
        <f t="shared" si="12"/>
        <v>0.5555555555555556</v>
      </c>
      <c r="L55" s="187">
        <f t="shared" si="13"/>
        <v>101.44444444444444</v>
      </c>
      <c r="M55" s="188">
        <f t="shared" si="14"/>
        <v>95.33333333333333</v>
      </c>
      <c r="N55" s="196">
        <f t="shared" si="15"/>
        <v>55557014444349.12</v>
      </c>
      <c r="O55" s="187">
        <f>'★(結果)④番手別＆総合成績'!AR63</f>
        <v>0</v>
      </c>
      <c r="P55" t="e">
        <f t="shared" si="16"/>
        <v>#REF!</v>
      </c>
      <c r="Q55">
        <f t="shared" si="17"/>
        <v>60</v>
      </c>
      <c r="R55" t="str">
        <f t="shared" si="18"/>
        <v>和歌山</v>
      </c>
      <c r="S55" t="str">
        <f t="shared" si="19"/>
        <v>和田 宗一郎</v>
      </c>
    </row>
    <row r="56" spans="1:19" ht="13.5" customHeight="1">
      <c r="A56" s="193"/>
      <c r="B56" s="186"/>
      <c r="C56">
        <f t="shared" si="10"/>
        <v>27</v>
      </c>
      <c r="D56">
        <f t="shared" si="11"/>
        <v>1</v>
      </c>
      <c r="E56" s="187" t="str">
        <f>'★(結果)④番手別＆総合成績'!B64</f>
        <v>滋賀</v>
      </c>
      <c r="F56" s="187" t="str">
        <f>'★(結果)④番手別＆総合成績'!C64</f>
        <v>大橋 正寛</v>
      </c>
      <c r="G56" s="187">
        <f>'★(結果)④番手別＆総合成績'!P64</f>
        <v>5</v>
      </c>
      <c r="H56" s="187">
        <f>'★(結果)④番手別＆総合成績'!Q64</f>
        <v>4</v>
      </c>
      <c r="I56" s="187">
        <f>'★(結果)④番手別＆総合成績'!R64</f>
        <v>747</v>
      </c>
      <c r="J56" s="187">
        <f>'★(結果)④番手別＆総合成績'!S64</f>
        <v>725</v>
      </c>
      <c r="K56" s="187">
        <f t="shared" si="12"/>
        <v>0.5555555555555556</v>
      </c>
      <c r="L56" s="187">
        <f t="shared" si="13"/>
        <v>83</v>
      </c>
      <c r="M56" s="188">
        <f t="shared" si="14"/>
        <v>80.55555555555556</v>
      </c>
      <c r="N56" s="196">
        <f t="shared" si="15"/>
        <v>55556829999919.45</v>
      </c>
      <c r="O56" s="187">
        <f>'★(結果)④番手別＆総合成績'!AR64</f>
        <v>0</v>
      </c>
      <c r="P56" t="e">
        <f t="shared" si="16"/>
        <v>#REF!</v>
      </c>
      <c r="Q56">
        <f t="shared" si="17"/>
        <v>60</v>
      </c>
      <c r="R56" t="str">
        <f t="shared" si="18"/>
        <v>滋賀</v>
      </c>
      <c r="S56" t="str">
        <f t="shared" si="19"/>
        <v>大橋 正寛</v>
      </c>
    </row>
    <row r="57" spans="1:19" ht="13.5" customHeight="1">
      <c r="A57" s="193"/>
      <c r="B57" s="186"/>
      <c r="C57">
        <f t="shared" si="10"/>
        <v>18</v>
      </c>
      <c r="D57">
        <f t="shared" si="11"/>
        <v>1</v>
      </c>
      <c r="E57" s="187" t="str">
        <f>'★(結果)④番手別＆総合成績'!B65</f>
        <v>奈良</v>
      </c>
      <c r="F57" s="187" t="str">
        <f>'★(結果)④番手別＆総合成績'!C65</f>
        <v>山田 晃司</v>
      </c>
      <c r="G57" s="187">
        <f>'★(結果)④番手別＆総合成績'!P65</f>
        <v>5</v>
      </c>
      <c r="H57" s="187">
        <f>'★(結果)④番手別＆総合成績'!Q65</f>
        <v>4</v>
      </c>
      <c r="I57" s="187">
        <f>'★(結果)④番手別＆総合成績'!R65</f>
        <v>885</v>
      </c>
      <c r="J57" s="187">
        <f>'★(結果)④番手別＆総合成績'!S65</f>
        <v>812</v>
      </c>
      <c r="K57" s="187">
        <f t="shared" si="12"/>
        <v>0.5555555555555556</v>
      </c>
      <c r="L57" s="187">
        <f t="shared" si="13"/>
        <v>98.33333333333333</v>
      </c>
      <c r="M57" s="188">
        <f t="shared" si="14"/>
        <v>90.22222222222223</v>
      </c>
      <c r="N57" s="196">
        <f t="shared" si="15"/>
        <v>55556983333243.125</v>
      </c>
      <c r="O57" s="187">
        <f>'★(結果)④番手別＆総合成績'!AR65</f>
        <v>0</v>
      </c>
      <c r="P57" t="e">
        <f t="shared" si="16"/>
        <v>#REF!</v>
      </c>
      <c r="Q57">
        <f t="shared" si="17"/>
        <v>60</v>
      </c>
      <c r="R57" t="str">
        <f t="shared" si="18"/>
        <v>奈良</v>
      </c>
      <c r="S57" t="str">
        <f t="shared" si="19"/>
        <v>山田 晃司</v>
      </c>
    </row>
    <row r="58" spans="1:19" ht="13.5" customHeight="1">
      <c r="A58" s="193"/>
      <c r="B58" s="186"/>
      <c r="C58">
        <f t="shared" si="10"/>
        <v>17</v>
      </c>
      <c r="D58">
        <f t="shared" si="11"/>
        <v>1</v>
      </c>
      <c r="E58" s="187" t="str">
        <f>'★(結果)④番手別＆総合成績'!B66</f>
        <v>三重</v>
      </c>
      <c r="F58" s="187" t="str">
        <f>'★(結果)④番手別＆総合成績'!C66</f>
        <v>森本 英幸</v>
      </c>
      <c r="G58" s="187">
        <f>'★(結果)④番手別＆総合成績'!P66</f>
        <v>5</v>
      </c>
      <c r="H58" s="187">
        <f>'★(結果)④番手別＆総合成績'!Q66</f>
        <v>4</v>
      </c>
      <c r="I58" s="187">
        <f>'★(結果)④番手別＆総合成績'!R66</f>
        <v>888</v>
      </c>
      <c r="J58" s="187">
        <f>'★(結果)④番手別＆総合成績'!S66</f>
        <v>689</v>
      </c>
      <c r="K58" s="187">
        <f t="shared" si="12"/>
        <v>0.5555555555555556</v>
      </c>
      <c r="L58" s="187">
        <f t="shared" si="13"/>
        <v>98.66666666666667</v>
      </c>
      <c r="M58" s="188">
        <f t="shared" si="14"/>
        <v>76.55555555555556</v>
      </c>
      <c r="N58" s="196">
        <f t="shared" si="15"/>
        <v>55556986666590.12</v>
      </c>
      <c r="O58" s="187">
        <f>'★(結果)④番手別＆総合成績'!AR66</f>
        <v>106</v>
      </c>
      <c r="P58" t="e">
        <f t="shared" si="16"/>
        <v>#REF!</v>
      </c>
      <c r="Q58">
        <f t="shared" si="17"/>
        <v>60</v>
      </c>
      <c r="R58" t="str">
        <f t="shared" si="18"/>
        <v>三重</v>
      </c>
      <c r="S58" t="str">
        <f t="shared" si="19"/>
        <v>森本 英幸</v>
      </c>
    </row>
    <row r="59" spans="1:19" ht="13.5" customHeight="1">
      <c r="A59" s="193"/>
      <c r="B59" s="186"/>
      <c r="C59">
        <f t="shared" si="10"/>
        <v>48</v>
      </c>
      <c r="D59">
        <f t="shared" si="11"/>
        <v>1</v>
      </c>
      <c r="E59" s="187" t="str">
        <f>'★(結果)④番手別＆総合成績'!B67</f>
        <v>岐阜</v>
      </c>
      <c r="F59" s="187" t="str">
        <f>'★(結果)④番手別＆総合成績'!C67</f>
        <v>野原 朋和</v>
      </c>
      <c r="G59" s="187">
        <f>'★(結果)④番手別＆総合成績'!P67</f>
        <v>1</v>
      </c>
      <c r="H59" s="187">
        <f>'★(結果)④番手別＆総合成績'!Q67</f>
        <v>8</v>
      </c>
      <c r="I59" s="187">
        <f>'★(結果)④番手別＆総合成績'!R67</f>
        <v>497</v>
      </c>
      <c r="J59" s="187">
        <f>'★(結果)④番手別＆総合成績'!S67</f>
        <v>1058</v>
      </c>
      <c r="K59" s="187">
        <f t="shared" si="12"/>
        <v>0.1111111111111111</v>
      </c>
      <c r="L59" s="187">
        <f t="shared" si="13"/>
        <v>55.22222222222222</v>
      </c>
      <c r="M59" s="188">
        <f t="shared" si="14"/>
        <v>117.55555555555556</v>
      </c>
      <c r="N59" s="196">
        <f t="shared" si="15"/>
        <v>11111552222104.668</v>
      </c>
      <c r="O59" s="187">
        <f>'★(結果)④番手別＆総合成績'!AR67</f>
        <v>0</v>
      </c>
      <c r="P59" t="e">
        <f t="shared" si="16"/>
        <v>#REF!</v>
      </c>
      <c r="Q59">
        <f t="shared" si="17"/>
        <v>60</v>
      </c>
      <c r="R59" t="str">
        <f t="shared" si="18"/>
        <v>岐阜</v>
      </c>
      <c r="S59" t="str">
        <f t="shared" si="19"/>
        <v>野原 朋和</v>
      </c>
    </row>
    <row r="60" spans="1:19" ht="13.5" customHeight="1">
      <c r="A60" s="193"/>
      <c r="B60" s="186"/>
      <c r="C60">
        <f t="shared" si="10"/>
        <v>28</v>
      </c>
      <c r="D60">
        <f t="shared" si="11"/>
        <v>1</v>
      </c>
      <c r="E60" s="187" t="str">
        <f>'★(結果)④番手別＆総合成績'!B68</f>
        <v>大阪B</v>
      </c>
      <c r="F60" s="187" t="str">
        <f>'★(結果)④番手別＆総合成績'!C68</f>
        <v>小森 雅昭</v>
      </c>
      <c r="G60" s="187">
        <f>'★(結果)④番手別＆総合成績'!P68</f>
        <v>4</v>
      </c>
      <c r="H60" s="187">
        <f>'★(結果)④番手別＆総合成績'!Q68</f>
        <v>5</v>
      </c>
      <c r="I60" s="187">
        <f>'★(結果)④番手別＆総合成績'!R68</f>
        <v>922</v>
      </c>
      <c r="J60" s="187">
        <f>'★(結果)④番手別＆総合成績'!S68</f>
        <v>809</v>
      </c>
      <c r="K60" s="187">
        <f t="shared" si="12"/>
        <v>0.4444444444444444</v>
      </c>
      <c r="L60" s="187">
        <f t="shared" si="13"/>
        <v>102.44444444444444</v>
      </c>
      <c r="M60" s="188">
        <f t="shared" si="14"/>
        <v>89.88888888888889</v>
      </c>
      <c r="N60" s="196">
        <f t="shared" si="15"/>
        <v>44445024444354.555</v>
      </c>
      <c r="O60" s="187">
        <f>'★(結果)④番手別＆総合成績'!AR68</f>
        <v>0</v>
      </c>
      <c r="P60" t="e">
        <f t="shared" si="16"/>
        <v>#REF!</v>
      </c>
      <c r="Q60">
        <f t="shared" si="17"/>
        <v>60</v>
      </c>
      <c r="R60" t="str">
        <f t="shared" si="18"/>
        <v>大阪B</v>
      </c>
      <c r="S60" t="str">
        <f t="shared" si="19"/>
        <v>小森 雅昭</v>
      </c>
    </row>
    <row r="61" spans="1:19" ht="13.5" customHeight="1">
      <c r="A61" s="193"/>
      <c r="B61" s="186"/>
      <c r="C61">
        <f t="shared" si="10"/>
        <v>51</v>
      </c>
      <c r="D61">
        <f t="shared" si="11"/>
        <v>10</v>
      </c>
      <c r="E61" s="187" t="e">
        <f>'★(結果)④番手別＆総合成績'!#REF!</f>
        <v>#REF!</v>
      </c>
      <c r="F61" s="187" t="e">
        <f>'★(結果)④番手別＆総合成績'!#REF!</f>
        <v>#REF!</v>
      </c>
      <c r="G61" s="187" t="e">
        <f>'★(結果)④番手別＆総合成績'!#REF!</f>
        <v>#REF!</v>
      </c>
      <c r="H61" s="187" t="e">
        <f>'★(結果)④番手別＆総合成績'!#REF!</f>
        <v>#REF!</v>
      </c>
      <c r="I61" s="187" t="e">
        <f>'★(結果)④番手別＆総合成績'!#REF!</f>
        <v>#REF!</v>
      </c>
      <c r="J61" s="187" t="e">
        <f>'★(結果)④番手別＆総合成績'!#REF!</f>
        <v>#REF!</v>
      </c>
      <c r="K61" s="187" t="e">
        <f t="shared" si="12"/>
        <v>#REF!</v>
      </c>
      <c r="L61" s="187" t="e">
        <f t="shared" si="13"/>
        <v>#REF!</v>
      </c>
      <c r="M61" s="188" t="e">
        <f t="shared" si="14"/>
        <v>#REF!</v>
      </c>
      <c r="N61" s="196">
        <f t="shared" si="15"/>
        <v>0</v>
      </c>
      <c r="O61" s="187" t="e">
        <f>'★(結果)④番手別＆総合成績'!#REF!</f>
        <v>#REF!</v>
      </c>
      <c r="P61" t="e">
        <f t="shared" si="16"/>
        <v>#REF!</v>
      </c>
      <c r="Q61">
        <f t="shared" si="17"/>
        <v>60</v>
      </c>
      <c r="R61" t="e">
        <f t="shared" si="18"/>
        <v>#REF!</v>
      </c>
      <c r="S61" t="e">
        <f t="shared" si="19"/>
        <v>#REF!</v>
      </c>
    </row>
    <row r="62" spans="1:19" ht="13.5" customHeight="1">
      <c r="A62" s="194"/>
      <c r="B62" s="189"/>
      <c r="C62">
        <f t="shared" si="10"/>
        <v>51</v>
      </c>
      <c r="D62">
        <f t="shared" si="11"/>
        <v>10</v>
      </c>
      <c r="E62" s="190" t="e">
        <f>'★(結果)④番手別＆総合成績'!#REF!</f>
        <v>#REF!</v>
      </c>
      <c r="F62" s="190" t="e">
        <f>'★(結果)④番手別＆総合成績'!#REF!</f>
        <v>#REF!</v>
      </c>
      <c r="G62" s="190" t="e">
        <f>'★(結果)④番手別＆総合成績'!#REF!</f>
        <v>#REF!</v>
      </c>
      <c r="H62" s="190" t="e">
        <f>'★(結果)④番手別＆総合成績'!#REF!</f>
        <v>#REF!</v>
      </c>
      <c r="I62" s="190" t="e">
        <f>'★(結果)④番手別＆総合成績'!#REF!</f>
        <v>#REF!</v>
      </c>
      <c r="J62" s="190" t="e">
        <f>'★(結果)④番手別＆総合成績'!#REF!</f>
        <v>#REF!</v>
      </c>
      <c r="K62" s="190" t="e">
        <f t="shared" si="12"/>
        <v>#REF!</v>
      </c>
      <c r="L62" s="190" t="e">
        <f t="shared" si="13"/>
        <v>#REF!</v>
      </c>
      <c r="M62" s="191" t="e">
        <f t="shared" si="14"/>
        <v>#REF!</v>
      </c>
      <c r="N62" s="196">
        <f t="shared" si="15"/>
        <v>0</v>
      </c>
      <c r="O62" s="190" t="e">
        <f>'★(結果)④番手別＆総合成績'!#REF!</f>
        <v>#REF!</v>
      </c>
      <c r="P62" t="e">
        <f t="shared" si="16"/>
        <v>#REF!</v>
      </c>
      <c r="Q62">
        <f t="shared" si="17"/>
        <v>60</v>
      </c>
      <c r="R62" t="e">
        <f t="shared" si="18"/>
        <v>#REF!</v>
      </c>
      <c r="S62" t="e">
        <f t="shared" si="19"/>
        <v>#REF!</v>
      </c>
    </row>
  </sheetData>
  <sheetProtection/>
  <printOptions/>
  <pageMargins left="0.7868055555555555" right="0.7868055555555555" top="0.9833333333333333" bottom="0.9833333333333333" header="0.5111111111111111" footer="0.5111111111111111"/>
  <pageSetup fitToHeight="65535" fitToWidth="65535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R62"/>
  <sheetViews>
    <sheetView zoomScale="55" zoomScaleNormal="55" zoomScaleSheetLayoutView="100" zoomScalePageLayoutView="0" workbookViewId="0" topLeftCell="A11">
      <selection activeCell="E16" sqref="E16"/>
    </sheetView>
  </sheetViews>
  <sheetFormatPr defaultColWidth="9.00390625" defaultRowHeight="13.5"/>
  <cols>
    <col min="1" max="1" width="2.25390625" style="0" customWidth="1" collapsed="1"/>
    <col min="2" max="8" width="7.50390625" style="0" customWidth="1" collapsed="1"/>
    <col min="9" max="10" width="2.25390625" style="0" customWidth="1" collapsed="1"/>
    <col min="11" max="17" width="7.50390625" style="0" customWidth="1" collapsed="1"/>
    <col min="18" max="19" width="2.25390625" style="0" customWidth="1" collapsed="1"/>
    <col min="20" max="26" width="7.50390625" style="0" customWidth="1"/>
    <col min="27" max="28" width="2.25390625" style="0" customWidth="1" collapsed="1"/>
    <col min="29" max="35" width="7.50390625" style="0" customWidth="1"/>
    <col min="36" max="37" width="2.25390625" style="0" customWidth="1"/>
    <col min="38" max="44" width="7.50390625" style="0" customWidth="1"/>
    <col min="45" max="45" width="2.25390625" style="0" customWidth="1"/>
  </cols>
  <sheetData>
    <row r="1" spans="2:8" ht="15" customHeight="1">
      <c r="B1" s="141" t="s">
        <v>0</v>
      </c>
      <c r="C1" s="139" t="s">
        <v>26</v>
      </c>
      <c r="D1" s="139"/>
      <c r="E1" s="139"/>
      <c r="F1" s="139"/>
      <c r="G1" s="139"/>
      <c r="H1" s="139"/>
    </row>
    <row r="2" spans="2:8" ht="15" customHeight="1">
      <c r="B2" s="141"/>
      <c r="C2" s="139" t="s">
        <v>27</v>
      </c>
      <c r="D2" s="139"/>
      <c r="E2" s="139"/>
      <c r="F2" s="139"/>
      <c r="G2" s="139"/>
      <c r="H2" s="139"/>
    </row>
    <row r="3" spans="2:8" ht="15" customHeight="1">
      <c r="B3" s="141" t="s">
        <v>3</v>
      </c>
      <c r="C3" s="139" t="s">
        <v>28</v>
      </c>
      <c r="D3" s="139"/>
      <c r="E3" s="139"/>
      <c r="F3" s="139"/>
      <c r="G3" s="139"/>
      <c r="H3" s="139"/>
    </row>
    <row r="4" spans="2:8" ht="15" customHeight="1">
      <c r="B4" s="141" t="s">
        <v>5</v>
      </c>
      <c r="C4" s="139" t="s">
        <v>29</v>
      </c>
      <c r="D4" s="139"/>
      <c r="E4" s="139"/>
      <c r="F4" s="139"/>
      <c r="G4" s="139"/>
      <c r="H4" s="139"/>
    </row>
    <row r="5" spans="2:8" ht="15" customHeight="1">
      <c r="B5" s="141"/>
      <c r="C5" s="139" t="s">
        <v>30</v>
      </c>
      <c r="D5" s="139"/>
      <c r="E5" s="139"/>
      <c r="F5" s="139"/>
      <c r="G5" s="139"/>
      <c r="H5" s="139"/>
    </row>
    <row r="6" spans="2:8" ht="15" customHeight="1">
      <c r="B6" s="141" t="s">
        <v>8</v>
      </c>
      <c r="C6" s="139" t="s">
        <v>31</v>
      </c>
      <c r="D6" s="139"/>
      <c r="E6" s="139"/>
      <c r="F6" s="139"/>
      <c r="G6" s="139"/>
      <c r="H6" s="139"/>
    </row>
    <row r="7" spans="3:8" ht="15" customHeight="1">
      <c r="C7" s="139" t="s">
        <v>32</v>
      </c>
      <c r="D7" s="139"/>
      <c r="E7" s="139"/>
      <c r="F7" s="139"/>
      <c r="G7" s="139"/>
      <c r="H7" s="139"/>
    </row>
    <row r="8" spans="3:8" ht="15" customHeight="1">
      <c r="C8" s="140" t="s">
        <v>7</v>
      </c>
      <c r="D8" s="139"/>
      <c r="E8" s="139"/>
      <c r="F8" s="139"/>
      <c r="G8" s="139"/>
      <c r="H8" s="139"/>
    </row>
    <row r="9" spans="2:17" ht="15" customHeight="1">
      <c r="B9" s="141" t="s">
        <v>33</v>
      </c>
      <c r="C9" s="139" t="s">
        <v>34</v>
      </c>
      <c r="D9" s="139"/>
      <c r="E9" s="139"/>
      <c r="F9" s="139"/>
      <c r="G9" s="139"/>
      <c r="H9" s="139"/>
      <c r="J9" t="s">
        <v>35</v>
      </c>
      <c r="K9" s="260" t="str">
        <f>'①（準備）選手登録'!B12&amp;'①（準備）選手登録'!I12&amp;'①（準備）選手登録'!J12&amp;'①（準備）選手登録'!K12</f>
        <v>第9回 関西･東海 対抗戦</v>
      </c>
      <c r="L9" s="108"/>
      <c r="M9" s="108"/>
      <c r="N9" s="108"/>
      <c r="O9" s="108"/>
      <c r="P9" s="108"/>
      <c r="Q9" s="109"/>
    </row>
    <row r="10" spans="3:8" ht="15" customHeight="1">
      <c r="C10" s="139" t="s">
        <v>36</v>
      </c>
      <c r="D10" s="139"/>
      <c r="E10" s="139"/>
      <c r="F10" s="139"/>
      <c r="G10" s="139"/>
      <c r="H10" s="139"/>
    </row>
    <row r="11" spans="4:20" ht="15" customHeight="1">
      <c r="D11" s="139"/>
      <c r="E11" s="139"/>
      <c r="F11" s="139"/>
      <c r="G11" s="139"/>
      <c r="H11" s="139"/>
      <c r="J11" s="10"/>
      <c r="K11" s="110" t="s">
        <v>37</v>
      </c>
      <c r="L11" s="111"/>
      <c r="M11" s="110" t="s">
        <v>38</v>
      </c>
      <c r="N11" s="111"/>
      <c r="O11" s="10"/>
      <c r="P11" s="110" t="s">
        <v>39</v>
      </c>
      <c r="Q11" s="111"/>
      <c r="T11">
        <v>21</v>
      </c>
    </row>
    <row r="12" ht="15" customHeight="1"/>
    <row r="13" spans="2:17" ht="31.5" customHeight="1">
      <c r="B13" s="112"/>
      <c r="K13" s="113"/>
      <c r="L13" s="114"/>
      <c r="M13" s="115"/>
      <c r="N13" s="116" t="s">
        <v>40</v>
      </c>
      <c r="O13" s="117"/>
      <c r="P13" s="114"/>
      <c r="Q13" s="118"/>
    </row>
    <row r="14" spans="2:17" ht="46.5" customHeight="1">
      <c r="B14" s="112"/>
      <c r="K14" s="119"/>
      <c r="L14" s="108"/>
      <c r="M14" s="109"/>
      <c r="N14" s="5" t="s">
        <v>41</v>
      </c>
      <c r="O14" s="120"/>
      <c r="P14" s="108"/>
      <c r="Q14" s="121"/>
    </row>
    <row r="15" spans="2:17" ht="37.5" customHeight="1">
      <c r="B15" s="197" t="s">
        <v>42</v>
      </c>
      <c r="C15" s="197"/>
      <c r="D15" s="197"/>
      <c r="K15" s="122"/>
      <c r="L15" s="108"/>
      <c r="M15" s="109"/>
      <c r="N15" s="5" t="s">
        <v>43</v>
      </c>
      <c r="O15" s="123"/>
      <c r="P15" s="108"/>
      <c r="Q15" s="121"/>
    </row>
    <row r="16" spans="2:17" ht="37.5" customHeight="1">
      <c r="B16" s="198">
        <v>221</v>
      </c>
      <c r="C16" s="197" t="s">
        <v>44</v>
      </c>
      <c r="D16" s="197">
        <v>225</v>
      </c>
      <c r="E16" s="135" t="s">
        <v>350</v>
      </c>
      <c r="K16" s="124"/>
      <c r="L16" s="125"/>
      <c r="M16" s="126"/>
      <c r="N16" s="127" t="s">
        <v>45</v>
      </c>
      <c r="O16" s="128"/>
      <c r="P16" s="125"/>
      <c r="Q16" s="129"/>
    </row>
    <row r="18" spans="13:17" ht="15" customHeight="1">
      <c r="M18" s="110"/>
      <c r="N18" s="110"/>
      <c r="O18" s="130" t="s">
        <v>46</v>
      </c>
      <c r="P18" s="111"/>
      <c r="Q18" s="111"/>
    </row>
    <row r="19" spans="2:44" s="177" customFormat="1" ht="15" customHeight="1">
      <c r="B19" s="260" t="str">
        <f>$K$9</f>
        <v>第9回 関西･東海 対抗戦</v>
      </c>
      <c r="C19" s="261"/>
      <c r="D19" s="261"/>
      <c r="E19" s="261"/>
      <c r="F19" s="261"/>
      <c r="G19" s="261"/>
      <c r="H19" s="262"/>
      <c r="K19" s="260" t="str">
        <f>$K$9</f>
        <v>第9回 関西･東海 対抗戦</v>
      </c>
      <c r="L19" s="261"/>
      <c r="M19" s="261"/>
      <c r="N19" s="261"/>
      <c r="O19" s="261"/>
      <c r="P19" s="261"/>
      <c r="Q19" s="262"/>
      <c r="T19" s="260" t="str">
        <f>$K$9</f>
        <v>第9回 関西･東海 対抗戦</v>
      </c>
      <c r="U19" s="261"/>
      <c r="V19" s="261"/>
      <c r="W19" s="261"/>
      <c r="X19" s="261"/>
      <c r="Y19" s="261"/>
      <c r="Z19" s="262"/>
      <c r="AC19" s="260" t="str">
        <f>$K$9</f>
        <v>第9回 関西･東海 対抗戦</v>
      </c>
      <c r="AD19" s="261"/>
      <c r="AE19" s="261"/>
      <c r="AF19" s="261"/>
      <c r="AG19" s="261"/>
      <c r="AH19" s="261"/>
      <c r="AI19" s="262"/>
      <c r="AL19" s="260" t="str">
        <f>$K$9</f>
        <v>第9回 関西･東海 対抗戦</v>
      </c>
      <c r="AM19" s="261"/>
      <c r="AN19" s="261"/>
      <c r="AO19" s="261"/>
      <c r="AP19" s="261"/>
      <c r="AQ19" s="261"/>
      <c r="AR19" s="262"/>
    </row>
    <row r="20" spans="4:5" ht="15" customHeight="1">
      <c r="D20" s="110"/>
      <c r="E20" s="110"/>
    </row>
    <row r="21" spans="2:44" s="110" customFormat="1" ht="15" customHeight="1">
      <c r="B21" s="110" t="s">
        <v>38</v>
      </c>
      <c r="C21" s="111">
        <f>AO21/5</f>
        <v>45</v>
      </c>
      <c r="D21" s="111" t="s">
        <v>47</v>
      </c>
      <c r="E21" s="111">
        <f>$B$16</f>
        <v>221</v>
      </c>
      <c r="G21" s="110" t="s">
        <v>39</v>
      </c>
      <c r="H21" s="111"/>
      <c r="K21" s="110" t="s">
        <v>38</v>
      </c>
      <c r="L21" s="111">
        <f>C21</f>
        <v>45</v>
      </c>
      <c r="M21" s="111" t="s">
        <v>47</v>
      </c>
      <c r="N21" s="111">
        <f>$B$16+1</f>
        <v>222</v>
      </c>
      <c r="P21" s="110" t="s">
        <v>39</v>
      </c>
      <c r="Q21" s="111"/>
      <c r="T21" s="110" t="s">
        <v>38</v>
      </c>
      <c r="U21" s="111">
        <f>L21</f>
        <v>45</v>
      </c>
      <c r="V21" s="111" t="s">
        <v>47</v>
      </c>
      <c r="W21" s="111">
        <f>$B$16+2</f>
        <v>223</v>
      </c>
      <c r="Y21" s="110" t="s">
        <v>39</v>
      </c>
      <c r="Z21" s="111"/>
      <c r="AC21" s="110" t="s">
        <v>38</v>
      </c>
      <c r="AD21" s="111">
        <f>C21</f>
        <v>45</v>
      </c>
      <c r="AE21" s="111" t="s">
        <v>47</v>
      </c>
      <c r="AF21" s="111">
        <f>$B$16+3</f>
        <v>224</v>
      </c>
      <c r="AH21" s="110" t="s">
        <v>39</v>
      </c>
      <c r="AI21" s="111"/>
      <c r="AL21" s="110" t="s">
        <v>38</v>
      </c>
      <c r="AM21" s="111">
        <f>C21</f>
        <v>45</v>
      </c>
      <c r="AN21" s="111" t="s">
        <v>47</v>
      </c>
      <c r="AO21" s="111">
        <f>$B$16+4</f>
        <v>225</v>
      </c>
      <c r="AQ21" s="110" t="s">
        <v>39</v>
      </c>
      <c r="AR21" s="111"/>
    </row>
    <row r="22" ht="15" customHeight="1"/>
    <row r="23" spans="2:44" ht="31.5" customHeight="1">
      <c r="B23" s="113" t="str">
        <f>VLOOKUP(E21,'◆（運営）③結果入力'!$A$16:$M$345,6,FALSE)</f>
        <v>兵庫</v>
      </c>
      <c r="C23" s="114"/>
      <c r="D23" s="115"/>
      <c r="E23" s="116" t="s">
        <v>40</v>
      </c>
      <c r="F23" s="117" t="str">
        <f>VLOOKUP(E21,'◆（運営）③結果入力'!$A$16:$M$345,13,FALSE)</f>
        <v>愛知</v>
      </c>
      <c r="G23" s="114"/>
      <c r="H23" s="118"/>
      <c r="K23" s="113" t="str">
        <f>VLOOKUP(N21,'◆（運営）③結果入力'!$A$16:$M$345,6,FALSE)</f>
        <v>兵庫</v>
      </c>
      <c r="L23" s="114"/>
      <c r="M23" s="115"/>
      <c r="N23" s="116" t="s">
        <v>40</v>
      </c>
      <c r="O23" s="117" t="str">
        <f>VLOOKUP(N21,'◆（運営）③結果入力'!$A$16:$M$345,13,FALSE)</f>
        <v>愛知</v>
      </c>
      <c r="P23" s="114"/>
      <c r="Q23" s="118"/>
      <c r="T23" s="113" t="str">
        <f>VLOOKUP(W21,'◆（運営）③結果入力'!$A$16:$M$345,6,FALSE)</f>
        <v>兵庫</v>
      </c>
      <c r="U23" s="114"/>
      <c r="V23" s="115"/>
      <c r="W23" s="116" t="s">
        <v>40</v>
      </c>
      <c r="X23" s="117" t="str">
        <f>VLOOKUP(W21,'◆（運営）③結果入力'!$A$16:$M$345,13,FALSE)</f>
        <v>愛知</v>
      </c>
      <c r="Y23" s="114"/>
      <c r="Z23" s="118"/>
      <c r="AC23" s="113" t="str">
        <f>VLOOKUP(AF21,'◆（運営）③結果入力'!$A$16:$M$345,6,FALSE)</f>
        <v>兵庫</v>
      </c>
      <c r="AD23" s="114"/>
      <c r="AE23" s="115"/>
      <c r="AF23" s="116" t="s">
        <v>40</v>
      </c>
      <c r="AG23" s="117" t="str">
        <f>VLOOKUP(AF21,'◆（運営）③結果入力'!$A$16:$M$345,13,FALSE)</f>
        <v>愛知</v>
      </c>
      <c r="AH23" s="114"/>
      <c r="AI23" s="118"/>
      <c r="AL23" s="113" t="str">
        <f>VLOOKUP(AO21,'◆（運営）③結果入力'!$A$16:$M$345,6,FALSE)</f>
        <v>兵庫</v>
      </c>
      <c r="AM23" s="114"/>
      <c r="AN23" s="115"/>
      <c r="AO23" s="116" t="s">
        <v>40</v>
      </c>
      <c r="AP23" s="117" t="str">
        <f>VLOOKUP(AO21,'◆（運営）③結果入力'!$A$16:$M$345,13,FALSE)</f>
        <v>愛知</v>
      </c>
      <c r="AQ23" s="114"/>
      <c r="AR23" s="118"/>
    </row>
    <row r="24" spans="2:44" s="177" customFormat="1" ht="22.5" customHeight="1">
      <c r="B24" s="171" t="str">
        <f>VLOOKUP(B23,'ブロック表'!$C$4:$N$16,4,FALSE)</f>
        <v>ﾀｶｷﾞ 　ﾄｼﾕｷ</v>
      </c>
      <c r="C24" s="172"/>
      <c r="D24" s="173"/>
      <c r="E24" s="174" t="s">
        <v>48</v>
      </c>
      <c r="F24" s="175" t="str">
        <f>VLOOKUP(F23,'ブロック表'!$C$4:$N$16,4,FALSE)</f>
        <v>ｵｶﾞﾜ 　ｺｳ</v>
      </c>
      <c r="G24" s="172"/>
      <c r="H24" s="176"/>
      <c r="K24" s="171" t="str">
        <f>VLOOKUP(K23,'ブロック表'!$C$4:$N$16,6,FALSE)</f>
        <v>ﾄﾞｳｿﾞﾉ 　ﾏｻﾔ</v>
      </c>
      <c r="L24" s="172"/>
      <c r="M24" s="173"/>
      <c r="N24" s="174" t="s">
        <v>48</v>
      </c>
      <c r="O24" s="175" t="str">
        <f>VLOOKUP(O23,'ブロック表'!$C$4:$N$16,6,FALSE)</f>
        <v>ｻｸﾗｲ 　ﾀｶﾕｷ</v>
      </c>
      <c r="P24" s="172"/>
      <c r="Q24" s="176"/>
      <c r="T24" s="171" t="str">
        <f>VLOOKUP(T23,'ブロック表'!$C$4:$N$16,8,FALSE)</f>
        <v>ﾓﾘ 　ｱｷﾄｼ</v>
      </c>
      <c r="U24" s="172"/>
      <c r="V24" s="173"/>
      <c r="W24" s="174" t="s">
        <v>48</v>
      </c>
      <c r="X24" s="175" t="str">
        <f>VLOOKUP(X23,'ブロック表'!$C$4:$N$16,8,FALSE)</f>
        <v>ﾉﾀﾞ 　ｼﾞｭﾝﾔ</v>
      </c>
      <c r="Y24" s="172"/>
      <c r="Z24" s="176"/>
      <c r="AC24" s="171" t="str">
        <f>VLOOKUP(AC23,'ブロック表'!$C$4:$N$16,10,FALSE)</f>
        <v>ｼﾗｻﾞﾜ 　ﾕｳｲﾁﾛｳ</v>
      </c>
      <c r="AD24" s="172"/>
      <c r="AE24" s="173"/>
      <c r="AF24" s="174" t="s">
        <v>48</v>
      </c>
      <c r="AG24" s="175" t="str">
        <f>VLOOKUP(AG23,'ブロック表'!$C$4:$N$16,10,FALSE)</f>
        <v>ｺﾝﾄﾞｳ 　ﾄﾓﾔｽ</v>
      </c>
      <c r="AH24" s="172"/>
      <c r="AI24" s="176"/>
      <c r="AL24" s="171" t="str">
        <f>VLOOKUP(AL23,'ブロック表'!$C$4:$N$16,12,FALSE)</f>
        <v>ﾋﾗｲ 　ｺｳｼ</v>
      </c>
      <c r="AM24" s="172"/>
      <c r="AN24" s="173"/>
      <c r="AO24" s="174" t="s">
        <v>48</v>
      </c>
      <c r="AP24" s="175" t="str">
        <f>VLOOKUP(AP23,'ブロック表'!$C$4:$N$16,12,FALSE)</f>
        <v>ｼﾏﾀﾞ 　ﾘｭｳｼﾞ</v>
      </c>
      <c r="AQ24" s="172"/>
      <c r="AR24" s="176"/>
    </row>
    <row r="25" spans="2:44" s="1" customFormat="1" ht="37.5" customHeight="1">
      <c r="B25" s="395" t="str">
        <f>VLOOKUP(E21,'◆（運営）③結果入力'!$A$16:$M$345,7,FALSE)</f>
        <v>高木 俊行</v>
      </c>
      <c r="C25" s="167"/>
      <c r="D25" s="168"/>
      <c r="E25" s="169" t="s">
        <v>41</v>
      </c>
      <c r="F25" s="396" t="str">
        <f>VLOOKUP(E21,'◆（運営）③結果入力'!$A$16:$M$345,12,FALSE)</f>
        <v>小川 晃</v>
      </c>
      <c r="G25" s="167"/>
      <c r="H25" s="170"/>
      <c r="K25" s="395" t="str">
        <f>VLOOKUP(N21,'◆（運営）③結果入力'!$A$16:$M$345,7,FALSE)</f>
        <v>堂園 雅也</v>
      </c>
      <c r="L25" s="167"/>
      <c r="M25" s="168"/>
      <c r="N25" s="169" t="s">
        <v>41</v>
      </c>
      <c r="O25" s="396" t="str">
        <f>VLOOKUP(N21,'◆（運営）③結果入力'!$A$16:$M$345,12,FALSE)</f>
        <v>櫻井 崇之</v>
      </c>
      <c r="P25" s="167"/>
      <c r="Q25" s="170"/>
      <c r="T25" s="395" t="str">
        <f>VLOOKUP(W21,'◆（運営）③結果入力'!$A$16:$M$345,7,FALSE)</f>
        <v>森 映智</v>
      </c>
      <c r="U25" s="167"/>
      <c r="V25" s="168"/>
      <c r="W25" s="169" t="s">
        <v>41</v>
      </c>
      <c r="X25" s="396" t="str">
        <f>VLOOKUP(W21,'◆（運営）③結果入力'!$A$16:$M$345,12,FALSE)</f>
        <v>野田 絢也</v>
      </c>
      <c r="Y25" s="167"/>
      <c r="Z25" s="170"/>
      <c r="AC25" s="395" t="str">
        <f>VLOOKUP(AF21,'◆（運営）③結果入力'!$A$16:$M$345,7,FALSE)</f>
        <v>白澤 雄一郎</v>
      </c>
      <c r="AD25" s="167"/>
      <c r="AE25" s="168"/>
      <c r="AF25" s="169" t="s">
        <v>41</v>
      </c>
      <c r="AG25" s="396" t="str">
        <f>VLOOKUP(AF21,'◆（運営）③結果入力'!$A$16:$M$345,12,FALSE)</f>
        <v>近藤 智靖</v>
      </c>
      <c r="AH25" s="167"/>
      <c r="AI25" s="170"/>
      <c r="AL25" s="395" t="str">
        <f>VLOOKUP(AO21,'◆（運営）③結果入力'!$A$16:$M$345,7,FALSE)</f>
        <v>平井 洸志</v>
      </c>
      <c r="AM25" s="167"/>
      <c r="AN25" s="168"/>
      <c r="AO25" s="169" t="s">
        <v>41</v>
      </c>
      <c r="AP25" s="396" t="str">
        <f>VLOOKUP(AO21,'◆（運営）③結果入力'!$A$16:$M$345,12,FALSE)</f>
        <v>島田 隆嗣</v>
      </c>
      <c r="AQ25" s="167"/>
      <c r="AR25" s="170"/>
    </row>
    <row r="26" spans="2:44" ht="37.5" customHeight="1">
      <c r="B26" s="122"/>
      <c r="C26" s="108"/>
      <c r="D26" s="109"/>
      <c r="E26" s="5" t="s">
        <v>43</v>
      </c>
      <c r="F26" s="123"/>
      <c r="G26" s="108"/>
      <c r="H26" s="121"/>
      <c r="K26" s="122"/>
      <c r="L26" s="108"/>
      <c r="M26" s="109"/>
      <c r="N26" s="5" t="s">
        <v>43</v>
      </c>
      <c r="O26" s="123"/>
      <c r="P26" s="108"/>
      <c r="Q26" s="121"/>
      <c r="T26" s="122"/>
      <c r="U26" s="108"/>
      <c r="V26" s="109"/>
      <c r="W26" s="5" t="s">
        <v>43</v>
      </c>
      <c r="X26" s="123"/>
      <c r="Y26" s="108"/>
      <c r="Z26" s="121"/>
      <c r="AC26" s="122"/>
      <c r="AD26" s="108"/>
      <c r="AE26" s="109"/>
      <c r="AF26" s="5" t="s">
        <v>43</v>
      </c>
      <c r="AG26" s="123"/>
      <c r="AH26" s="108"/>
      <c r="AI26" s="121"/>
      <c r="AL26" s="122"/>
      <c r="AM26" s="108"/>
      <c r="AN26" s="109"/>
      <c r="AO26" s="5" t="s">
        <v>43</v>
      </c>
      <c r="AP26" s="123"/>
      <c r="AQ26" s="108"/>
      <c r="AR26" s="121"/>
    </row>
    <row r="27" spans="2:44" ht="37.5" customHeight="1">
      <c r="B27" s="124"/>
      <c r="C27" s="125"/>
      <c r="D27" s="126"/>
      <c r="E27" s="127" t="s">
        <v>45</v>
      </c>
      <c r="F27" s="128"/>
      <c r="G27" s="125"/>
      <c r="H27" s="129"/>
      <c r="K27" s="124"/>
      <c r="L27" s="125"/>
      <c r="M27" s="126"/>
      <c r="N27" s="127" t="s">
        <v>45</v>
      </c>
      <c r="O27" s="128"/>
      <c r="P27" s="125"/>
      <c r="Q27" s="129"/>
      <c r="T27" s="124"/>
      <c r="U27" s="125"/>
      <c r="V27" s="126"/>
      <c r="W27" s="127" t="s">
        <v>45</v>
      </c>
      <c r="X27" s="128"/>
      <c r="Y27" s="125"/>
      <c r="Z27" s="129"/>
      <c r="AC27" s="124"/>
      <c r="AD27" s="125"/>
      <c r="AE27" s="126"/>
      <c r="AF27" s="127" t="s">
        <v>45</v>
      </c>
      <c r="AG27" s="128"/>
      <c r="AH27" s="125"/>
      <c r="AI27" s="129"/>
      <c r="AL27" s="124"/>
      <c r="AM27" s="125"/>
      <c r="AN27" s="126"/>
      <c r="AO27" s="127" t="s">
        <v>45</v>
      </c>
      <c r="AP27" s="128"/>
      <c r="AQ27" s="125"/>
      <c r="AR27" s="129"/>
    </row>
    <row r="29" spans="4:44" ht="15" customHeight="1">
      <c r="D29" s="110"/>
      <c r="E29" s="130" t="s">
        <v>46</v>
      </c>
      <c r="F29" s="111"/>
      <c r="G29" s="111"/>
      <c r="H29" s="111"/>
      <c r="M29" s="110"/>
      <c r="N29" s="130" t="s">
        <v>46</v>
      </c>
      <c r="O29" s="111"/>
      <c r="P29" s="111"/>
      <c r="Q29" s="111"/>
      <c r="V29" s="110"/>
      <c r="W29" s="130" t="s">
        <v>46</v>
      </c>
      <c r="X29" s="111"/>
      <c r="Y29" s="111"/>
      <c r="Z29" s="111"/>
      <c r="AE29" s="110"/>
      <c r="AF29" s="130" t="s">
        <v>46</v>
      </c>
      <c r="AG29" s="111"/>
      <c r="AH29" s="111"/>
      <c r="AI29" s="111"/>
      <c r="AN29" s="110"/>
      <c r="AO29" s="130" t="s">
        <v>46</v>
      </c>
      <c r="AP29" s="111"/>
      <c r="AQ29" s="111"/>
      <c r="AR29" s="111"/>
    </row>
    <row r="30" spans="2:44" s="177" customFormat="1" ht="15" customHeight="1">
      <c r="B30" s="260" t="str">
        <f>$K$9</f>
        <v>第9回 関西･東海 対抗戦</v>
      </c>
      <c r="C30" s="261"/>
      <c r="D30" s="261"/>
      <c r="E30" s="261"/>
      <c r="F30" s="261"/>
      <c r="G30" s="261"/>
      <c r="H30" s="262"/>
      <c r="K30" s="260" t="str">
        <f>$K$9</f>
        <v>第9回 関西･東海 対抗戦</v>
      </c>
      <c r="L30" s="261"/>
      <c r="M30" s="261"/>
      <c r="N30" s="261"/>
      <c r="O30" s="261"/>
      <c r="P30" s="261"/>
      <c r="Q30" s="262"/>
      <c r="T30" s="260" t="str">
        <f>$K$9</f>
        <v>第9回 関西･東海 対抗戦</v>
      </c>
      <c r="U30" s="261"/>
      <c r="V30" s="261"/>
      <c r="W30" s="261"/>
      <c r="X30" s="261"/>
      <c r="Y30" s="261"/>
      <c r="Z30" s="262"/>
      <c r="AC30" s="260" t="str">
        <f>$K$9</f>
        <v>第9回 関西･東海 対抗戦</v>
      </c>
      <c r="AD30" s="261"/>
      <c r="AE30" s="261"/>
      <c r="AF30" s="261"/>
      <c r="AG30" s="261"/>
      <c r="AH30" s="261"/>
      <c r="AI30" s="262"/>
      <c r="AL30" s="260" t="str">
        <f>$K$9</f>
        <v>第9回 関西･東海 対抗戦</v>
      </c>
      <c r="AM30" s="261"/>
      <c r="AN30" s="261"/>
      <c r="AO30" s="261"/>
      <c r="AP30" s="261"/>
      <c r="AQ30" s="261"/>
      <c r="AR30" s="262"/>
    </row>
    <row r="32" spans="2:44" s="10" customFormat="1" ht="15" customHeight="1">
      <c r="B32" s="110" t="s">
        <v>38</v>
      </c>
      <c r="C32" s="111">
        <f>AO32/5</f>
        <v>46</v>
      </c>
      <c r="D32" s="111" t="s">
        <v>47</v>
      </c>
      <c r="E32" s="111">
        <f>E21+5</f>
        <v>226</v>
      </c>
      <c r="G32" s="110" t="s">
        <v>39</v>
      </c>
      <c r="H32" s="111"/>
      <c r="K32" s="110" t="s">
        <v>38</v>
      </c>
      <c r="L32" s="111">
        <f>C32</f>
        <v>46</v>
      </c>
      <c r="M32" s="111" t="s">
        <v>47</v>
      </c>
      <c r="N32" s="111">
        <f>N21+5</f>
        <v>227</v>
      </c>
      <c r="P32" s="110" t="s">
        <v>39</v>
      </c>
      <c r="Q32" s="111"/>
      <c r="T32" s="110" t="s">
        <v>38</v>
      </c>
      <c r="U32" s="111">
        <f>L32</f>
        <v>46</v>
      </c>
      <c r="V32" s="111" t="s">
        <v>47</v>
      </c>
      <c r="W32" s="111">
        <f>W21+5</f>
        <v>228</v>
      </c>
      <c r="Y32" s="110" t="s">
        <v>39</v>
      </c>
      <c r="Z32" s="111"/>
      <c r="AC32" s="110" t="s">
        <v>38</v>
      </c>
      <c r="AD32" s="111">
        <f>C32</f>
        <v>46</v>
      </c>
      <c r="AE32" s="111" t="s">
        <v>47</v>
      </c>
      <c r="AF32" s="111">
        <f>AF21+5</f>
        <v>229</v>
      </c>
      <c r="AH32" s="110" t="s">
        <v>39</v>
      </c>
      <c r="AI32" s="111"/>
      <c r="AL32" s="110" t="s">
        <v>38</v>
      </c>
      <c r="AM32" s="111">
        <f>C32</f>
        <v>46</v>
      </c>
      <c r="AN32" s="111" t="s">
        <v>47</v>
      </c>
      <c r="AO32" s="111">
        <f>AO21+5</f>
        <v>230</v>
      </c>
      <c r="AQ32" s="110" t="s">
        <v>39</v>
      </c>
      <c r="AR32" s="111"/>
    </row>
    <row r="33" ht="15" customHeight="1"/>
    <row r="34" spans="2:44" ht="31.5" customHeight="1">
      <c r="B34" s="113" t="e">
        <f>VLOOKUP(E32,'◆（運営）③結果入力'!$A$16:$M$345,6,FALSE)</f>
        <v>#N/A</v>
      </c>
      <c r="C34" s="114"/>
      <c r="D34" s="115"/>
      <c r="E34" s="116" t="s">
        <v>40</v>
      </c>
      <c r="F34" s="117" t="e">
        <f>VLOOKUP(E32,'◆（運営）③結果入力'!$A$16:$M$345,13,FALSE)</f>
        <v>#N/A</v>
      </c>
      <c r="G34" s="114"/>
      <c r="H34" s="118"/>
      <c r="K34" s="113" t="e">
        <f>VLOOKUP(N32,'◆（運営）③結果入力'!$A$16:$M$345,6,FALSE)</f>
        <v>#N/A</v>
      </c>
      <c r="L34" s="114"/>
      <c r="M34" s="115"/>
      <c r="N34" s="116" t="s">
        <v>40</v>
      </c>
      <c r="O34" s="117" t="e">
        <f>VLOOKUP(N32,'◆（運営）③結果入力'!$A$16:$M$345,13,FALSE)</f>
        <v>#N/A</v>
      </c>
      <c r="P34" s="114"/>
      <c r="Q34" s="118"/>
      <c r="T34" s="113" t="e">
        <f>VLOOKUP(W32,'◆（運営）③結果入力'!$A$16:$M$345,6,FALSE)</f>
        <v>#N/A</v>
      </c>
      <c r="U34" s="114"/>
      <c r="V34" s="115"/>
      <c r="W34" s="116" t="s">
        <v>40</v>
      </c>
      <c r="X34" s="117" t="e">
        <f>VLOOKUP(W32,'◆（運営）③結果入力'!$A$16:$M$345,13,FALSE)</f>
        <v>#N/A</v>
      </c>
      <c r="Y34" s="114"/>
      <c r="Z34" s="118"/>
      <c r="AC34" s="113" t="e">
        <f>VLOOKUP(AF32,'◆（運営）③結果入力'!$A$16:$M$345,6,FALSE)</f>
        <v>#N/A</v>
      </c>
      <c r="AD34" s="114"/>
      <c r="AE34" s="115"/>
      <c r="AF34" s="116" t="s">
        <v>40</v>
      </c>
      <c r="AG34" s="117" t="e">
        <f>VLOOKUP(AF32,'◆（運営）③結果入力'!$A$16:$M$345,13,FALSE)</f>
        <v>#N/A</v>
      </c>
      <c r="AH34" s="114"/>
      <c r="AI34" s="118"/>
      <c r="AL34" s="113" t="e">
        <f>VLOOKUP(AO32,'◆（運営）③結果入力'!$A$16:$M$345,6,FALSE)</f>
        <v>#N/A</v>
      </c>
      <c r="AM34" s="114"/>
      <c r="AN34" s="115"/>
      <c r="AO34" s="116" t="s">
        <v>40</v>
      </c>
      <c r="AP34" s="117" t="e">
        <f>VLOOKUP(AO32,'◆（運営）③結果入力'!$A$16:$M$345,13,FALSE)</f>
        <v>#N/A</v>
      </c>
      <c r="AQ34" s="114"/>
      <c r="AR34" s="118"/>
    </row>
    <row r="35" spans="2:44" s="177" customFormat="1" ht="22.5" customHeight="1">
      <c r="B35" s="171" t="e">
        <f>VLOOKUP(B34,'ブロック表'!$C$4:$N$16,4,FALSE)</f>
        <v>#N/A</v>
      </c>
      <c r="C35" s="172"/>
      <c r="D35" s="173"/>
      <c r="E35" s="174" t="s">
        <v>48</v>
      </c>
      <c r="F35" s="175" t="e">
        <f>VLOOKUP(F34,'ブロック表'!$C$4:$N$16,4,FALSE)</f>
        <v>#N/A</v>
      </c>
      <c r="G35" s="172"/>
      <c r="H35" s="176"/>
      <c r="K35" s="171" t="e">
        <f>VLOOKUP(K34,'ブロック表'!$C$4:$N$16,6,FALSE)</f>
        <v>#N/A</v>
      </c>
      <c r="L35" s="172"/>
      <c r="M35" s="173"/>
      <c r="N35" s="174" t="s">
        <v>48</v>
      </c>
      <c r="O35" s="175" t="e">
        <f>VLOOKUP(O34,'ブロック表'!$C$4:$N$16,6,FALSE)</f>
        <v>#N/A</v>
      </c>
      <c r="P35" s="172"/>
      <c r="Q35" s="176"/>
      <c r="T35" s="171" t="e">
        <f>VLOOKUP(T34,'ブロック表'!$C$4:$N$16,8,FALSE)</f>
        <v>#N/A</v>
      </c>
      <c r="U35" s="172"/>
      <c r="V35" s="173"/>
      <c r="W35" s="174" t="s">
        <v>48</v>
      </c>
      <c r="X35" s="175" t="e">
        <f>VLOOKUP(X34,'ブロック表'!$C$4:$N$16,8,FALSE)</f>
        <v>#N/A</v>
      </c>
      <c r="Y35" s="172"/>
      <c r="Z35" s="176"/>
      <c r="AC35" s="171" t="e">
        <f>VLOOKUP(AC34,'ブロック表'!$C$4:$N$16,10,FALSE)</f>
        <v>#N/A</v>
      </c>
      <c r="AD35" s="172"/>
      <c r="AE35" s="173"/>
      <c r="AF35" s="174" t="s">
        <v>48</v>
      </c>
      <c r="AG35" s="175" t="e">
        <f>VLOOKUP(AG34,'ブロック表'!$C$4:$N$16,10,FALSE)</f>
        <v>#N/A</v>
      </c>
      <c r="AH35" s="172"/>
      <c r="AI35" s="176"/>
      <c r="AL35" s="171" t="e">
        <f>VLOOKUP(AL34,'ブロック表'!$C$4:$N$16,12,FALSE)</f>
        <v>#N/A</v>
      </c>
      <c r="AM35" s="172"/>
      <c r="AN35" s="173"/>
      <c r="AO35" s="174" t="s">
        <v>48</v>
      </c>
      <c r="AP35" s="175" t="e">
        <f>VLOOKUP(AP34,'ブロック表'!$C$4:$N$16,12,FALSE)</f>
        <v>#N/A</v>
      </c>
      <c r="AQ35" s="172"/>
      <c r="AR35" s="176"/>
    </row>
    <row r="36" spans="2:44" s="1" customFormat="1" ht="37.5" customHeight="1">
      <c r="B36" s="395" t="e">
        <f>VLOOKUP(E32,'◆（運営）③結果入力'!$A$16:$M$345,7,FALSE)</f>
        <v>#N/A</v>
      </c>
      <c r="C36" s="167"/>
      <c r="D36" s="168"/>
      <c r="E36" s="169" t="s">
        <v>41</v>
      </c>
      <c r="F36" s="396" t="e">
        <f>VLOOKUP(E32,'◆（運営）③結果入力'!$A$16:$M$345,12,FALSE)</f>
        <v>#N/A</v>
      </c>
      <c r="G36" s="167"/>
      <c r="H36" s="170"/>
      <c r="K36" s="395" t="e">
        <f>VLOOKUP(N32,'◆（運営）③結果入力'!$A$16:$M$345,7,FALSE)</f>
        <v>#N/A</v>
      </c>
      <c r="L36" s="167"/>
      <c r="M36" s="168"/>
      <c r="N36" s="169" t="s">
        <v>41</v>
      </c>
      <c r="O36" s="396" t="e">
        <f>VLOOKUP(N32,'◆（運営）③結果入力'!$A$16:$M$345,12,FALSE)</f>
        <v>#N/A</v>
      </c>
      <c r="P36" s="167"/>
      <c r="Q36" s="170"/>
      <c r="T36" s="395" t="e">
        <f>VLOOKUP(W32,'◆（運営）③結果入力'!$A$16:$M$345,7,FALSE)</f>
        <v>#N/A</v>
      </c>
      <c r="U36" s="167"/>
      <c r="V36" s="168"/>
      <c r="W36" s="169" t="s">
        <v>41</v>
      </c>
      <c r="X36" s="396" t="e">
        <f>VLOOKUP(W32,'◆（運営）③結果入力'!$A$16:$M$345,12,FALSE)</f>
        <v>#N/A</v>
      </c>
      <c r="Y36" s="167"/>
      <c r="Z36" s="170"/>
      <c r="AC36" s="395" t="e">
        <f>VLOOKUP(AF32,'◆（運営）③結果入力'!$A$16:$M$345,7,FALSE)</f>
        <v>#N/A</v>
      </c>
      <c r="AD36" s="167"/>
      <c r="AE36" s="168"/>
      <c r="AF36" s="169" t="s">
        <v>41</v>
      </c>
      <c r="AG36" s="396" t="e">
        <f>VLOOKUP(AF32,'◆（運営）③結果入力'!$A$16:$M$345,12,FALSE)</f>
        <v>#N/A</v>
      </c>
      <c r="AH36" s="167"/>
      <c r="AI36" s="170"/>
      <c r="AL36" s="395" t="e">
        <f>VLOOKUP(AO32,'◆（運営）③結果入力'!$A$16:$M$345,7,FALSE)</f>
        <v>#N/A</v>
      </c>
      <c r="AM36" s="167"/>
      <c r="AN36" s="168"/>
      <c r="AO36" s="169" t="s">
        <v>41</v>
      </c>
      <c r="AP36" s="396" t="e">
        <f>VLOOKUP(AO32,'◆（運営）③結果入力'!$A$16:$M$345,12,FALSE)</f>
        <v>#N/A</v>
      </c>
      <c r="AQ36" s="167"/>
      <c r="AR36" s="170"/>
    </row>
    <row r="37" spans="2:44" ht="37.5" customHeight="1">
      <c r="B37" s="122"/>
      <c r="C37" s="108"/>
      <c r="D37" s="109"/>
      <c r="E37" s="5" t="s">
        <v>43</v>
      </c>
      <c r="F37" s="123"/>
      <c r="G37" s="108"/>
      <c r="H37" s="121"/>
      <c r="K37" s="122"/>
      <c r="L37" s="108"/>
      <c r="M37" s="109"/>
      <c r="N37" s="5" t="s">
        <v>43</v>
      </c>
      <c r="O37" s="123"/>
      <c r="P37" s="108"/>
      <c r="Q37" s="121"/>
      <c r="T37" s="122"/>
      <c r="U37" s="108"/>
      <c r="V37" s="109"/>
      <c r="W37" s="5" t="s">
        <v>43</v>
      </c>
      <c r="X37" s="123"/>
      <c r="Y37" s="108"/>
      <c r="Z37" s="121"/>
      <c r="AC37" s="122"/>
      <c r="AD37" s="108"/>
      <c r="AE37" s="109"/>
      <c r="AF37" s="5" t="s">
        <v>43</v>
      </c>
      <c r="AG37" s="123"/>
      <c r="AH37" s="108"/>
      <c r="AI37" s="121"/>
      <c r="AL37" s="122"/>
      <c r="AM37" s="108"/>
      <c r="AN37" s="109"/>
      <c r="AO37" s="5" t="s">
        <v>43</v>
      </c>
      <c r="AP37" s="123"/>
      <c r="AQ37" s="108"/>
      <c r="AR37" s="121"/>
    </row>
    <row r="38" spans="2:44" ht="37.5" customHeight="1">
      <c r="B38" s="124"/>
      <c r="C38" s="125"/>
      <c r="D38" s="126"/>
      <c r="E38" s="127" t="s">
        <v>45</v>
      </c>
      <c r="F38" s="128"/>
      <c r="G38" s="125"/>
      <c r="H38" s="129"/>
      <c r="K38" s="124"/>
      <c r="L38" s="125"/>
      <c r="M38" s="126"/>
      <c r="N38" s="127" t="s">
        <v>45</v>
      </c>
      <c r="O38" s="128"/>
      <c r="P38" s="125"/>
      <c r="Q38" s="129"/>
      <c r="T38" s="124"/>
      <c r="U38" s="125"/>
      <c r="V38" s="126"/>
      <c r="W38" s="127" t="s">
        <v>45</v>
      </c>
      <c r="X38" s="128"/>
      <c r="Y38" s="125"/>
      <c r="Z38" s="129"/>
      <c r="AC38" s="124"/>
      <c r="AD38" s="125"/>
      <c r="AE38" s="126"/>
      <c r="AF38" s="127" t="s">
        <v>45</v>
      </c>
      <c r="AG38" s="128"/>
      <c r="AH38" s="125"/>
      <c r="AI38" s="129"/>
      <c r="AL38" s="124"/>
      <c r="AM38" s="125"/>
      <c r="AN38" s="126"/>
      <c r="AO38" s="127" t="s">
        <v>45</v>
      </c>
      <c r="AP38" s="128"/>
      <c r="AQ38" s="125"/>
      <c r="AR38" s="129"/>
    </row>
    <row r="40" spans="4:44" ht="15" customHeight="1">
      <c r="D40" s="110"/>
      <c r="E40" s="130" t="s">
        <v>46</v>
      </c>
      <c r="F40" s="111"/>
      <c r="G40" s="111"/>
      <c r="H40" s="111"/>
      <c r="M40" s="110"/>
      <c r="N40" s="130" t="s">
        <v>46</v>
      </c>
      <c r="O40" s="111"/>
      <c r="P40" s="111"/>
      <c r="Q40" s="111"/>
      <c r="V40" s="110"/>
      <c r="W40" s="130" t="s">
        <v>46</v>
      </c>
      <c r="X40" s="111"/>
      <c r="Y40" s="111"/>
      <c r="Z40" s="111"/>
      <c r="AE40" s="110"/>
      <c r="AF40" s="130" t="s">
        <v>46</v>
      </c>
      <c r="AG40" s="111"/>
      <c r="AH40" s="111"/>
      <c r="AI40" s="111"/>
      <c r="AN40" s="110"/>
      <c r="AO40" s="130" t="s">
        <v>46</v>
      </c>
      <c r="AP40" s="111"/>
      <c r="AQ40" s="111"/>
      <c r="AR40" s="111"/>
    </row>
    <row r="41" spans="2:44" s="177" customFormat="1" ht="15" customHeight="1">
      <c r="B41" s="260" t="str">
        <f>$K$9</f>
        <v>第9回 関西･東海 対抗戦</v>
      </c>
      <c r="C41" s="261"/>
      <c r="D41" s="261"/>
      <c r="E41" s="261"/>
      <c r="F41" s="261"/>
      <c r="G41" s="261"/>
      <c r="H41" s="262"/>
      <c r="K41" s="260" t="str">
        <f>$K$9</f>
        <v>第9回 関西･東海 対抗戦</v>
      </c>
      <c r="L41" s="261"/>
      <c r="M41" s="261"/>
      <c r="N41" s="261"/>
      <c r="O41" s="261"/>
      <c r="P41" s="261"/>
      <c r="Q41" s="262"/>
      <c r="T41" s="260" t="str">
        <f>$K$9</f>
        <v>第9回 関西･東海 対抗戦</v>
      </c>
      <c r="U41" s="261"/>
      <c r="V41" s="261"/>
      <c r="W41" s="261"/>
      <c r="X41" s="261"/>
      <c r="Y41" s="261"/>
      <c r="Z41" s="262"/>
      <c r="AC41" s="260" t="str">
        <f>$K$9</f>
        <v>第9回 関西･東海 対抗戦</v>
      </c>
      <c r="AD41" s="261"/>
      <c r="AE41" s="261"/>
      <c r="AF41" s="261"/>
      <c r="AG41" s="261"/>
      <c r="AH41" s="261"/>
      <c r="AI41" s="262"/>
      <c r="AL41" s="260" t="str">
        <f>$K$9</f>
        <v>第9回 関西･東海 対抗戦</v>
      </c>
      <c r="AM41" s="261"/>
      <c r="AN41" s="261"/>
      <c r="AO41" s="261"/>
      <c r="AP41" s="261"/>
      <c r="AQ41" s="261"/>
      <c r="AR41" s="262"/>
    </row>
    <row r="43" spans="2:44" s="10" customFormat="1" ht="15" customHeight="1">
      <c r="B43" s="110" t="s">
        <v>38</v>
      </c>
      <c r="C43" s="111">
        <f>AO43/5</f>
        <v>47</v>
      </c>
      <c r="D43" s="111" t="s">
        <v>47</v>
      </c>
      <c r="E43" s="111">
        <f>E32+5</f>
        <v>231</v>
      </c>
      <c r="G43" s="110" t="s">
        <v>39</v>
      </c>
      <c r="H43" s="111"/>
      <c r="K43" s="110" t="s">
        <v>38</v>
      </c>
      <c r="L43" s="111">
        <f>C43</f>
        <v>47</v>
      </c>
      <c r="M43" s="111" t="s">
        <v>47</v>
      </c>
      <c r="N43" s="111">
        <f>N32+5</f>
        <v>232</v>
      </c>
      <c r="P43" s="110" t="s">
        <v>39</v>
      </c>
      <c r="Q43" s="111"/>
      <c r="T43" s="110" t="s">
        <v>38</v>
      </c>
      <c r="U43" s="111">
        <f>L43</f>
        <v>47</v>
      </c>
      <c r="V43" s="111" t="s">
        <v>47</v>
      </c>
      <c r="W43" s="111">
        <f>W32+5</f>
        <v>233</v>
      </c>
      <c r="Y43" s="110" t="s">
        <v>39</v>
      </c>
      <c r="Z43" s="111"/>
      <c r="AC43" s="110" t="s">
        <v>38</v>
      </c>
      <c r="AD43" s="111">
        <f>C43</f>
        <v>47</v>
      </c>
      <c r="AE43" s="111" t="s">
        <v>47</v>
      </c>
      <c r="AF43" s="111">
        <f>AF32+5</f>
        <v>234</v>
      </c>
      <c r="AH43" s="110" t="s">
        <v>39</v>
      </c>
      <c r="AI43" s="111"/>
      <c r="AL43" s="110" t="s">
        <v>38</v>
      </c>
      <c r="AM43" s="111">
        <f>C43</f>
        <v>47</v>
      </c>
      <c r="AN43" s="111" t="s">
        <v>47</v>
      </c>
      <c r="AO43" s="111">
        <f>AO32+5</f>
        <v>235</v>
      </c>
      <c r="AQ43" s="110" t="s">
        <v>39</v>
      </c>
      <c r="AR43" s="111"/>
    </row>
    <row r="44" ht="15" customHeight="1"/>
    <row r="45" spans="2:44" ht="31.5" customHeight="1">
      <c r="B45" s="113" t="e">
        <f>VLOOKUP(E43,'◆（運営）③結果入力'!$A$16:$M$345,6,FALSE)</f>
        <v>#N/A</v>
      </c>
      <c r="C45" s="114"/>
      <c r="D45" s="115"/>
      <c r="E45" s="116" t="s">
        <v>40</v>
      </c>
      <c r="F45" s="117" t="e">
        <f>VLOOKUP(E43,'◆（運営）③結果入力'!$A$16:$M$345,13,FALSE)</f>
        <v>#N/A</v>
      </c>
      <c r="G45" s="114"/>
      <c r="H45" s="118"/>
      <c r="K45" s="113" t="e">
        <f>VLOOKUP(N43,'◆（運営）③結果入力'!$A$16:$M$345,6,FALSE)</f>
        <v>#N/A</v>
      </c>
      <c r="L45" s="114"/>
      <c r="M45" s="115"/>
      <c r="N45" s="116" t="s">
        <v>40</v>
      </c>
      <c r="O45" s="117" t="e">
        <f>VLOOKUP(N43,'◆（運営）③結果入力'!$A$16:$M$345,13,FALSE)</f>
        <v>#N/A</v>
      </c>
      <c r="P45" s="114"/>
      <c r="Q45" s="118"/>
      <c r="T45" s="113" t="e">
        <f>VLOOKUP(W43,'◆（運営）③結果入力'!$A$16:$M$345,6,FALSE)</f>
        <v>#N/A</v>
      </c>
      <c r="U45" s="114"/>
      <c r="V45" s="115"/>
      <c r="W45" s="116" t="s">
        <v>40</v>
      </c>
      <c r="X45" s="117" t="e">
        <f>VLOOKUP(W43,'◆（運営）③結果入力'!$A$16:$M$345,13,FALSE)</f>
        <v>#N/A</v>
      </c>
      <c r="Y45" s="114"/>
      <c r="Z45" s="118"/>
      <c r="AC45" s="113" t="e">
        <f>VLOOKUP(AF43,'◆（運営）③結果入力'!$A$16:$M$345,6,FALSE)</f>
        <v>#N/A</v>
      </c>
      <c r="AD45" s="114"/>
      <c r="AE45" s="115"/>
      <c r="AF45" s="116" t="s">
        <v>40</v>
      </c>
      <c r="AG45" s="117" t="e">
        <f>VLOOKUP(AF43,'◆（運営）③結果入力'!$A$16:$M$345,13,FALSE)</f>
        <v>#N/A</v>
      </c>
      <c r="AH45" s="114"/>
      <c r="AI45" s="118"/>
      <c r="AL45" s="113" t="e">
        <f>VLOOKUP(AO43,'◆（運営）③結果入力'!$A$16:$M$345,6,FALSE)</f>
        <v>#N/A</v>
      </c>
      <c r="AM45" s="114"/>
      <c r="AN45" s="115"/>
      <c r="AO45" s="116" t="s">
        <v>40</v>
      </c>
      <c r="AP45" s="117" t="e">
        <f>VLOOKUP(AO43,'◆（運営）③結果入力'!$A$16:$M$345,13,FALSE)</f>
        <v>#N/A</v>
      </c>
      <c r="AQ45" s="114"/>
      <c r="AR45" s="118"/>
    </row>
    <row r="46" spans="2:44" s="177" customFormat="1" ht="22.5" customHeight="1">
      <c r="B46" s="171" t="e">
        <f>VLOOKUP(B45,'ブロック表'!$C$4:$N$16,4,FALSE)</f>
        <v>#N/A</v>
      </c>
      <c r="C46" s="172"/>
      <c r="D46" s="173"/>
      <c r="E46" s="174" t="s">
        <v>48</v>
      </c>
      <c r="F46" s="175" t="e">
        <f>VLOOKUP(F45,'ブロック表'!$C$4:$N$16,4,FALSE)</f>
        <v>#N/A</v>
      </c>
      <c r="G46" s="172"/>
      <c r="H46" s="176"/>
      <c r="K46" s="171" t="e">
        <f>VLOOKUP(K45,'ブロック表'!$C$4:$N$16,6,FALSE)</f>
        <v>#N/A</v>
      </c>
      <c r="L46" s="172"/>
      <c r="M46" s="173"/>
      <c r="N46" s="174" t="s">
        <v>48</v>
      </c>
      <c r="O46" s="175" t="e">
        <f>VLOOKUP(O45,'ブロック表'!$C$4:$N$16,6,FALSE)</f>
        <v>#N/A</v>
      </c>
      <c r="P46" s="172"/>
      <c r="Q46" s="176"/>
      <c r="T46" s="171" t="e">
        <f>VLOOKUP(T45,'ブロック表'!$C$4:$N$16,8,FALSE)</f>
        <v>#N/A</v>
      </c>
      <c r="U46" s="172"/>
      <c r="V46" s="173"/>
      <c r="W46" s="174" t="s">
        <v>48</v>
      </c>
      <c r="X46" s="175" t="e">
        <f>VLOOKUP(X45,'ブロック表'!$C$4:$N$16,8,FALSE)</f>
        <v>#N/A</v>
      </c>
      <c r="Y46" s="172"/>
      <c r="Z46" s="176"/>
      <c r="AC46" s="171" t="e">
        <f>VLOOKUP(AC45,'ブロック表'!$C$4:$N$16,10,FALSE)</f>
        <v>#N/A</v>
      </c>
      <c r="AD46" s="172"/>
      <c r="AE46" s="173"/>
      <c r="AF46" s="174" t="s">
        <v>48</v>
      </c>
      <c r="AG46" s="175" t="e">
        <f>VLOOKUP(AG45,'ブロック表'!$C$4:$N$16,10,FALSE)</f>
        <v>#N/A</v>
      </c>
      <c r="AH46" s="172"/>
      <c r="AI46" s="176"/>
      <c r="AL46" s="171" t="e">
        <f>VLOOKUP(AL45,'ブロック表'!$C$4:$N$16,12,FALSE)</f>
        <v>#N/A</v>
      </c>
      <c r="AM46" s="172"/>
      <c r="AN46" s="173"/>
      <c r="AO46" s="174" t="s">
        <v>48</v>
      </c>
      <c r="AP46" s="175" t="e">
        <f>VLOOKUP(AP45,'ブロック表'!$C$4:$N$16,12,FALSE)</f>
        <v>#N/A</v>
      </c>
      <c r="AQ46" s="172"/>
      <c r="AR46" s="176"/>
    </row>
    <row r="47" spans="2:44" s="1" customFormat="1" ht="37.5" customHeight="1">
      <c r="B47" s="395" t="e">
        <f>VLOOKUP(E43,'◆（運営）③結果入力'!$A$16:$M$345,7,FALSE)</f>
        <v>#N/A</v>
      </c>
      <c r="C47" s="167"/>
      <c r="D47" s="168"/>
      <c r="E47" s="169" t="s">
        <v>41</v>
      </c>
      <c r="F47" s="396" t="e">
        <f>VLOOKUP(E43,'◆（運営）③結果入力'!$A$16:$M$345,12,FALSE)</f>
        <v>#N/A</v>
      </c>
      <c r="G47" s="167"/>
      <c r="H47" s="170"/>
      <c r="K47" s="395" t="e">
        <f>VLOOKUP(N43,'◆（運営）③結果入力'!$A$16:$M$345,7,FALSE)</f>
        <v>#N/A</v>
      </c>
      <c r="L47" s="167"/>
      <c r="M47" s="168"/>
      <c r="N47" s="169" t="s">
        <v>41</v>
      </c>
      <c r="O47" s="396" t="e">
        <f>VLOOKUP(N43,'◆（運営）③結果入力'!$A$16:$M$345,12,FALSE)</f>
        <v>#N/A</v>
      </c>
      <c r="P47" s="167"/>
      <c r="Q47" s="170"/>
      <c r="T47" s="395" t="e">
        <f>VLOOKUP(W43,'◆（運営）③結果入力'!$A$16:$M$345,7,FALSE)</f>
        <v>#N/A</v>
      </c>
      <c r="U47" s="167"/>
      <c r="V47" s="168"/>
      <c r="W47" s="169" t="s">
        <v>41</v>
      </c>
      <c r="X47" s="396" t="e">
        <f>VLOOKUP(W43,'◆（運営）③結果入力'!$A$16:$M$345,12,FALSE)</f>
        <v>#N/A</v>
      </c>
      <c r="Y47" s="167"/>
      <c r="Z47" s="170"/>
      <c r="AC47" s="395" t="e">
        <f>VLOOKUP(AF43,'◆（運営）③結果入力'!$A$16:$M$345,7,FALSE)</f>
        <v>#N/A</v>
      </c>
      <c r="AD47" s="167"/>
      <c r="AE47" s="168"/>
      <c r="AF47" s="169" t="s">
        <v>41</v>
      </c>
      <c r="AG47" s="396" t="e">
        <f>VLOOKUP(AF43,'◆（運営）③結果入力'!$A$16:$M$345,12,FALSE)</f>
        <v>#N/A</v>
      </c>
      <c r="AH47" s="167"/>
      <c r="AI47" s="170"/>
      <c r="AL47" s="395" t="e">
        <f>VLOOKUP(AO43,'◆（運営）③結果入力'!$A$16:$M$345,7,FALSE)</f>
        <v>#N/A</v>
      </c>
      <c r="AM47" s="167"/>
      <c r="AN47" s="168"/>
      <c r="AO47" s="169" t="s">
        <v>41</v>
      </c>
      <c r="AP47" s="396" t="e">
        <f>VLOOKUP(AO43,'◆（運営）③結果入力'!$A$16:$M$345,12,FALSE)</f>
        <v>#N/A</v>
      </c>
      <c r="AQ47" s="167"/>
      <c r="AR47" s="170"/>
    </row>
    <row r="48" spans="2:44" ht="37.5" customHeight="1">
      <c r="B48" s="122"/>
      <c r="C48" s="108"/>
      <c r="D48" s="109"/>
      <c r="E48" s="5" t="s">
        <v>43</v>
      </c>
      <c r="F48" s="123"/>
      <c r="G48" s="108"/>
      <c r="H48" s="121"/>
      <c r="K48" s="122"/>
      <c r="L48" s="108"/>
      <c r="M48" s="109"/>
      <c r="N48" s="5" t="s">
        <v>43</v>
      </c>
      <c r="O48" s="123"/>
      <c r="P48" s="108"/>
      <c r="Q48" s="121"/>
      <c r="T48" s="122"/>
      <c r="U48" s="108"/>
      <c r="V48" s="109"/>
      <c r="W48" s="5" t="s">
        <v>43</v>
      </c>
      <c r="X48" s="123"/>
      <c r="Y48" s="108"/>
      <c r="Z48" s="121"/>
      <c r="AC48" s="122"/>
      <c r="AD48" s="108"/>
      <c r="AE48" s="109"/>
      <c r="AF48" s="5" t="s">
        <v>43</v>
      </c>
      <c r="AG48" s="123"/>
      <c r="AH48" s="108"/>
      <c r="AI48" s="121"/>
      <c r="AL48" s="122"/>
      <c r="AM48" s="108"/>
      <c r="AN48" s="109"/>
      <c r="AO48" s="5" t="s">
        <v>43</v>
      </c>
      <c r="AP48" s="123"/>
      <c r="AQ48" s="108"/>
      <c r="AR48" s="121"/>
    </row>
    <row r="49" spans="2:44" ht="37.5" customHeight="1">
      <c r="B49" s="124"/>
      <c r="C49" s="125"/>
      <c r="D49" s="126"/>
      <c r="E49" s="127" t="s">
        <v>45</v>
      </c>
      <c r="F49" s="128"/>
      <c r="G49" s="125"/>
      <c r="H49" s="129"/>
      <c r="K49" s="124"/>
      <c r="L49" s="125"/>
      <c r="M49" s="126"/>
      <c r="N49" s="127" t="s">
        <v>45</v>
      </c>
      <c r="O49" s="128"/>
      <c r="P49" s="125"/>
      <c r="Q49" s="129"/>
      <c r="T49" s="124"/>
      <c r="U49" s="125"/>
      <c r="V49" s="126"/>
      <c r="W49" s="127" t="s">
        <v>45</v>
      </c>
      <c r="X49" s="128"/>
      <c r="Y49" s="125"/>
      <c r="Z49" s="129"/>
      <c r="AC49" s="124"/>
      <c r="AD49" s="125"/>
      <c r="AE49" s="126"/>
      <c r="AF49" s="127" t="s">
        <v>45</v>
      </c>
      <c r="AG49" s="128"/>
      <c r="AH49" s="125"/>
      <c r="AI49" s="129"/>
      <c r="AL49" s="124"/>
      <c r="AM49" s="125"/>
      <c r="AN49" s="126"/>
      <c r="AO49" s="127" t="s">
        <v>45</v>
      </c>
      <c r="AP49" s="128"/>
      <c r="AQ49" s="125"/>
      <c r="AR49" s="129"/>
    </row>
    <row r="51" spans="4:44" ht="15" customHeight="1">
      <c r="D51" s="110"/>
      <c r="E51" s="130" t="s">
        <v>46</v>
      </c>
      <c r="F51" s="111"/>
      <c r="G51" s="111"/>
      <c r="H51" s="111"/>
      <c r="M51" s="110"/>
      <c r="N51" s="130" t="s">
        <v>46</v>
      </c>
      <c r="O51" s="111"/>
      <c r="P51" s="111"/>
      <c r="Q51" s="111"/>
      <c r="V51" s="110"/>
      <c r="W51" s="130" t="s">
        <v>46</v>
      </c>
      <c r="X51" s="111"/>
      <c r="Y51" s="111"/>
      <c r="Z51" s="111"/>
      <c r="AE51" s="110"/>
      <c r="AF51" s="130" t="s">
        <v>46</v>
      </c>
      <c r="AG51" s="111"/>
      <c r="AH51" s="111"/>
      <c r="AI51" s="111"/>
      <c r="AN51" s="110"/>
      <c r="AO51" s="130" t="s">
        <v>46</v>
      </c>
      <c r="AP51" s="111"/>
      <c r="AQ51" s="111"/>
      <c r="AR51" s="111"/>
    </row>
    <row r="52" spans="2:44" s="177" customFormat="1" ht="15" customHeight="1">
      <c r="B52" s="260" t="str">
        <f>$K$9</f>
        <v>第9回 関西･東海 対抗戦</v>
      </c>
      <c r="C52" s="261"/>
      <c r="D52" s="261"/>
      <c r="E52" s="261"/>
      <c r="F52" s="261"/>
      <c r="G52" s="261"/>
      <c r="H52" s="262"/>
      <c r="K52" s="260" t="str">
        <f>$K$9</f>
        <v>第9回 関西･東海 対抗戦</v>
      </c>
      <c r="L52" s="261"/>
      <c r="M52" s="261"/>
      <c r="N52" s="261"/>
      <c r="O52" s="261"/>
      <c r="P52" s="261"/>
      <c r="Q52" s="262"/>
      <c r="T52" s="260" t="str">
        <f>$K$9</f>
        <v>第9回 関西･東海 対抗戦</v>
      </c>
      <c r="U52" s="261"/>
      <c r="V52" s="261"/>
      <c r="W52" s="261"/>
      <c r="X52" s="261"/>
      <c r="Y52" s="261"/>
      <c r="Z52" s="262"/>
      <c r="AC52" s="260" t="str">
        <f>$K$9</f>
        <v>第9回 関西･東海 対抗戦</v>
      </c>
      <c r="AD52" s="261"/>
      <c r="AE52" s="261"/>
      <c r="AF52" s="261"/>
      <c r="AG52" s="261"/>
      <c r="AH52" s="261"/>
      <c r="AI52" s="262"/>
      <c r="AL52" s="260" t="str">
        <f>$K$9</f>
        <v>第9回 関西･東海 対抗戦</v>
      </c>
      <c r="AM52" s="261"/>
      <c r="AN52" s="261"/>
      <c r="AO52" s="261"/>
      <c r="AP52" s="261"/>
      <c r="AQ52" s="261"/>
      <c r="AR52" s="262"/>
    </row>
    <row r="54" spans="2:44" s="10" customFormat="1" ht="15" customHeight="1">
      <c r="B54" s="110" t="s">
        <v>38</v>
      </c>
      <c r="C54" s="111">
        <f>AO54/5</f>
        <v>48</v>
      </c>
      <c r="D54" s="111" t="s">
        <v>47</v>
      </c>
      <c r="E54" s="111">
        <f>E43+5</f>
        <v>236</v>
      </c>
      <c r="G54" s="110" t="s">
        <v>39</v>
      </c>
      <c r="H54" s="111"/>
      <c r="K54" s="110" t="s">
        <v>38</v>
      </c>
      <c r="L54" s="111">
        <f>C54</f>
        <v>48</v>
      </c>
      <c r="M54" s="111" t="s">
        <v>47</v>
      </c>
      <c r="N54" s="111">
        <f>N43+5</f>
        <v>237</v>
      </c>
      <c r="P54" s="110" t="s">
        <v>39</v>
      </c>
      <c r="Q54" s="111"/>
      <c r="T54" s="110" t="s">
        <v>38</v>
      </c>
      <c r="U54" s="111">
        <f>L54</f>
        <v>48</v>
      </c>
      <c r="V54" s="111" t="s">
        <v>47</v>
      </c>
      <c r="W54" s="111">
        <f>W43+5</f>
        <v>238</v>
      </c>
      <c r="Y54" s="110" t="s">
        <v>39</v>
      </c>
      <c r="Z54" s="111"/>
      <c r="AC54" s="110" t="s">
        <v>38</v>
      </c>
      <c r="AD54" s="111">
        <f>C54</f>
        <v>48</v>
      </c>
      <c r="AE54" s="111" t="s">
        <v>47</v>
      </c>
      <c r="AF54" s="111">
        <f>AF43+5</f>
        <v>239</v>
      </c>
      <c r="AH54" s="110" t="s">
        <v>39</v>
      </c>
      <c r="AI54" s="111"/>
      <c r="AL54" s="110" t="s">
        <v>38</v>
      </c>
      <c r="AM54" s="111">
        <f>C54</f>
        <v>48</v>
      </c>
      <c r="AN54" s="111" t="s">
        <v>47</v>
      </c>
      <c r="AO54" s="111">
        <f>AO43+5</f>
        <v>240</v>
      </c>
      <c r="AQ54" s="110" t="s">
        <v>39</v>
      </c>
      <c r="AR54" s="111"/>
    </row>
    <row r="55" ht="15" customHeight="1"/>
    <row r="56" spans="2:44" ht="31.5" customHeight="1">
      <c r="B56" s="113" t="e">
        <f>VLOOKUP(E54,'◆（運営）③結果入力'!$A$16:$M$345,6,FALSE)</f>
        <v>#N/A</v>
      </c>
      <c r="C56" s="114"/>
      <c r="D56" s="115"/>
      <c r="E56" s="116" t="s">
        <v>40</v>
      </c>
      <c r="F56" s="117" t="e">
        <f>VLOOKUP(E54,'◆（運営）③結果入力'!$A$16:$M$345,13,FALSE)</f>
        <v>#N/A</v>
      </c>
      <c r="G56" s="114"/>
      <c r="H56" s="118"/>
      <c r="K56" s="113" t="e">
        <f>VLOOKUP(N54,'◆（運営）③結果入力'!$A$16:$M$345,6,FALSE)</f>
        <v>#N/A</v>
      </c>
      <c r="L56" s="114"/>
      <c r="M56" s="115"/>
      <c r="N56" s="116" t="s">
        <v>40</v>
      </c>
      <c r="O56" s="117" t="e">
        <f>VLOOKUP(N54,'◆（運営）③結果入力'!$A$16:$M$345,13,FALSE)</f>
        <v>#N/A</v>
      </c>
      <c r="P56" s="114"/>
      <c r="Q56" s="118"/>
      <c r="T56" s="113" t="e">
        <f>VLOOKUP(W54,'◆（運営）③結果入力'!$A$16:$M$345,6,FALSE)</f>
        <v>#N/A</v>
      </c>
      <c r="U56" s="114"/>
      <c r="V56" s="115"/>
      <c r="W56" s="116" t="s">
        <v>40</v>
      </c>
      <c r="X56" s="117" t="e">
        <f>VLOOKUP(W54,'◆（運営）③結果入力'!$A$16:$M$345,13,FALSE)</f>
        <v>#N/A</v>
      </c>
      <c r="Y56" s="114"/>
      <c r="Z56" s="118"/>
      <c r="AC56" s="113" t="e">
        <f>VLOOKUP(AF54,'◆（運営）③結果入力'!$A$16:$M$345,6,FALSE)</f>
        <v>#N/A</v>
      </c>
      <c r="AD56" s="114"/>
      <c r="AE56" s="115"/>
      <c r="AF56" s="116" t="s">
        <v>40</v>
      </c>
      <c r="AG56" s="117" t="e">
        <f>VLOOKUP(AF54,'◆（運営）③結果入力'!$A$16:$M$345,13,FALSE)</f>
        <v>#N/A</v>
      </c>
      <c r="AH56" s="114"/>
      <c r="AI56" s="118"/>
      <c r="AL56" s="113" t="e">
        <f>VLOOKUP(AO54,'◆（運営）③結果入力'!$A$16:$M$345,6,FALSE)</f>
        <v>#N/A</v>
      </c>
      <c r="AM56" s="114"/>
      <c r="AN56" s="115"/>
      <c r="AO56" s="116" t="s">
        <v>40</v>
      </c>
      <c r="AP56" s="117" t="e">
        <f>VLOOKUP(AO54,'◆（運営）③結果入力'!$A$16:$M$345,13,FALSE)</f>
        <v>#N/A</v>
      </c>
      <c r="AQ56" s="114"/>
      <c r="AR56" s="118"/>
    </row>
    <row r="57" spans="2:44" s="177" customFormat="1" ht="22.5" customHeight="1">
      <c r="B57" s="171" t="e">
        <f>VLOOKUP(B56,'ブロック表'!$C$4:$N$16,4,FALSE)</f>
        <v>#N/A</v>
      </c>
      <c r="C57" s="172"/>
      <c r="D57" s="173"/>
      <c r="E57" s="174" t="s">
        <v>48</v>
      </c>
      <c r="F57" s="175" t="e">
        <f>VLOOKUP(F56,'ブロック表'!$C$4:$N$16,4,FALSE)</f>
        <v>#N/A</v>
      </c>
      <c r="G57" s="172"/>
      <c r="H57" s="176"/>
      <c r="K57" s="171" t="e">
        <f>VLOOKUP(K56,'ブロック表'!$C$4:$N$16,6,FALSE)</f>
        <v>#N/A</v>
      </c>
      <c r="L57" s="172"/>
      <c r="M57" s="173"/>
      <c r="N57" s="174" t="s">
        <v>48</v>
      </c>
      <c r="O57" s="175" t="e">
        <f>VLOOKUP(O56,'ブロック表'!$C$4:$N$16,6,FALSE)</f>
        <v>#N/A</v>
      </c>
      <c r="P57" s="172"/>
      <c r="Q57" s="176"/>
      <c r="T57" s="171" t="e">
        <f>VLOOKUP(T56,'ブロック表'!$C$4:$N$16,8,FALSE)</f>
        <v>#N/A</v>
      </c>
      <c r="U57" s="172"/>
      <c r="V57" s="173"/>
      <c r="W57" s="174" t="s">
        <v>48</v>
      </c>
      <c r="X57" s="175" t="e">
        <f>VLOOKUP(X56,'ブロック表'!$C$4:$N$16,8,FALSE)</f>
        <v>#N/A</v>
      </c>
      <c r="Y57" s="172"/>
      <c r="Z57" s="176"/>
      <c r="AC57" s="171" t="e">
        <f>VLOOKUP(AC56,'ブロック表'!$C$4:$N$16,10,FALSE)</f>
        <v>#N/A</v>
      </c>
      <c r="AD57" s="172"/>
      <c r="AE57" s="173"/>
      <c r="AF57" s="174" t="s">
        <v>48</v>
      </c>
      <c r="AG57" s="175" t="e">
        <f>VLOOKUP(AG56,'ブロック表'!$C$4:$N$16,10,FALSE)</f>
        <v>#N/A</v>
      </c>
      <c r="AH57" s="172"/>
      <c r="AI57" s="176"/>
      <c r="AL57" s="171" t="e">
        <f>VLOOKUP(AL56,'ブロック表'!$C$4:$N$16,12,FALSE)</f>
        <v>#N/A</v>
      </c>
      <c r="AM57" s="172"/>
      <c r="AN57" s="173"/>
      <c r="AO57" s="174" t="s">
        <v>48</v>
      </c>
      <c r="AP57" s="175" t="e">
        <f>VLOOKUP(AP56,'ブロック表'!$C$4:$N$16,12,FALSE)</f>
        <v>#N/A</v>
      </c>
      <c r="AQ57" s="172"/>
      <c r="AR57" s="176"/>
    </row>
    <row r="58" spans="2:44" s="1" customFormat="1" ht="37.5" customHeight="1">
      <c r="B58" s="395" t="e">
        <f>VLOOKUP(E54,'◆（運営）③結果入力'!$A$16:$M$345,7,FALSE)</f>
        <v>#N/A</v>
      </c>
      <c r="C58" s="167"/>
      <c r="D58" s="168"/>
      <c r="E58" s="169" t="s">
        <v>41</v>
      </c>
      <c r="F58" s="396" t="e">
        <f>VLOOKUP(E54,'◆（運営）③結果入力'!$A$16:$M$345,12,FALSE)</f>
        <v>#N/A</v>
      </c>
      <c r="G58" s="167"/>
      <c r="H58" s="170"/>
      <c r="K58" s="395" t="e">
        <f>VLOOKUP(N54,'◆（運営）③結果入力'!$A$16:$M$345,7,FALSE)</f>
        <v>#N/A</v>
      </c>
      <c r="L58" s="167"/>
      <c r="M58" s="168"/>
      <c r="N58" s="169" t="s">
        <v>41</v>
      </c>
      <c r="O58" s="396" t="e">
        <f>VLOOKUP(N54,'◆（運営）③結果入力'!$A$16:$M$345,12,FALSE)</f>
        <v>#N/A</v>
      </c>
      <c r="P58" s="167"/>
      <c r="Q58" s="170"/>
      <c r="T58" s="395" t="e">
        <f>VLOOKUP(W54,'◆（運営）③結果入力'!$A$16:$M$345,7,FALSE)</f>
        <v>#N/A</v>
      </c>
      <c r="U58" s="167"/>
      <c r="V58" s="168"/>
      <c r="W58" s="169" t="s">
        <v>41</v>
      </c>
      <c r="X58" s="396" t="e">
        <f>VLOOKUP(W54,'◆（運営）③結果入力'!$A$16:$M$345,12,FALSE)</f>
        <v>#N/A</v>
      </c>
      <c r="Y58" s="167"/>
      <c r="Z58" s="170"/>
      <c r="AC58" s="395" t="e">
        <f>VLOOKUP(AF54,'◆（運営）③結果入力'!$A$16:$M$345,7,FALSE)</f>
        <v>#N/A</v>
      </c>
      <c r="AD58" s="167"/>
      <c r="AE58" s="168"/>
      <c r="AF58" s="169" t="s">
        <v>41</v>
      </c>
      <c r="AG58" s="396" t="e">
        <f>VLOOKUP(AF54,'◆（運営）③結果入力'!$A$16:$M$345,12,FALSE)</f>
        <v>#N/A</v>
      </c>
      <c r="AH58" s="167"/>
      <c r="AI58" s="170"/>
      <c r="AL58" s="395" t="e">
        <f>VLOOKUP(AO54,'◆（運営）③結果入力'!$A$16:$M$345,7,FALSE)</f>
        <v>#N/A</v>
      </c>
      <c r="AM58" s="167"/>
      <c r="AN58" s="168"/>
      <c r="AO58" s="169" t="s">
        <v>41</v>
      </c>
      <c r="AP58" s="396" t="e">
        <f>VLOOKUP(AO54,'◆（運営）③結果入力'!$A$16:$M$345,12,FALSE)</f>
        <v>#N/A</v>
      </c>
      <c r="AQ58" s="167"/>
      <c r="AR58" s="170"/>
    </row>
    <row r="59" spans="2:44" ht="37.5" customHeight="1">
      <c r="B59" s="122"/>
      <c r="C59" s="108"/>
      <c r="D59" s="109"/>
      <c r="E59" s="5" t="s">
        <v>43</v>
      </c>
      <c r="F59" s="123"/>
      <c r="G59" s="108"/>
      <c r="H59" s="121"/>
      <c r="K59" s="122"/>
      <c r="L59" s="108"/>
      <c r="M59" s="109"/>
      <c r="N59" s="5" t="s">
        <v>43</v>
      </c>
      <c r="O59" s="123"/>
      <c r="P59" s="108"/>
      <c r="Q59" s="121"/>
      <c r="T59" s="122"/>
      <c r="U59" s="108"/>
      <c r="V59" s="109"/>
      <c r="W59" s="5" t="s">
        <v>43</v>
      </c>
      <c r="X59" s="123"/>
      <c r="Y59" s="108"/>
      <c r="Z59" s="121"/>
      <c r="AC59" s="122"/>
      <c r="AD59" s="108"/>
      <c r="AE59" s="109"/>
      <c r="AF59" s="5" t="s">
        <v>43</v>
      </c>
      <c r="AG59" s="123"/>
      <c r="AH59" s="108"/>
      <c r="AI59" s="121"/>
      <c r="AL59" s="122"/>
      <c r="AM59" s="108"/>
      <c r="AN59" s="109"/>
      <c r="AO59" s="5" t="s">
        <v>43</v>
      </c>
      <c r="AP59" s="123"/>
      <c r="AQ59" s="108"/>
      <c r="AR59" s="121"/>
    </row>
    <row r="60" spans="2:44" ht="37.5" customHeight="1">
      <c r="B60" s="124"/>
      <c r="C60" s="125"/>
      <c r="D60" s="126"/>
      <c r="E60" s="127" t="s">
        <v>45</v>
      </c>
      <c r="F60" s="128"/>
      <c r="G60" s="125"/>
      <c r="H60" s="129"/>
      <c r="K60" s="124"/>
      <c r="L60" s="125"/>
      <c r="M60" s="126"/>
      <c r="N60" s="127" t="s">
        <v>45</v>
      </c>
      <c r="O60" s="128"/>
      <c r="P60" s="125"/>
      <c r="Q60" s="129"/>
      <c r="T60" s="124"/>
      <c r="U60" s="125"/>
      <c r="V60" s="126"/>
      <c r="W60" s="127" t="s">
        <v>45</v>
      </c>
      <c r="X60" s="128"/>
      <c r="Y60" s="125"/>
      <c r="Z60" s="129"/>
      <c r="AC60" s="124"/>
      <c r="AD60" s="125"/>
      <c r="AE60" s="126"/>
      <c r="AF60" s="127" t="s">
        <v>45</v>
      </c>
      <c r="AG60" s="128"/>
      <c r="AH60" s="125"/>
      <c r="AI60" s="129"/>
      <c r="AL60" s="124"/>
      <c r="AM60" s="125"/>
      <c r="AN60" s="126"/>
      <c r="AO60" s="127" t="s">
        <v>45</v>
      </c>
      <c r="AP60" s="128"/>
      <c r="AQ60" s="125"/>
      <c r="AR60" s="129"/>
    </row>
    <row r="62" spans="4:44" ht="15" customHeight="1">
      <c r="D62" s="110"/>
      <c r="E62" s="130" t="s">
        <v>46</v>
      </c>
      <c r="F62" s="111"/>
      <c r="G62" s="111"/>
      <c r="H62" s="111"/>
      <c r="M62" s="110"/>
      <c r="N62" s="130" t="s">
        <v>46</v>
      </c>
      <c r="O62" s="111"/>
      <c r="P62" s="111"/>
      <c r="Q62" s="111"/>
      <c r="V62" s="110"/>
      <c r="W62" s="130" t="s">
        <v>46</v>
      </c>
      <c r="X62" s="111"/>
      <c r="Y62" s="111"/>
      <c r="Z62" s="111"/>
      <c r="AE62" s="110"/>
      <c r="AF62" s="130" t="s">
        <v>46</v>
      </c>
      <c r="AG62" s="111"/>
      <c r="AH62" s="111"/>
      <c r="AI62" s="111"/>
      <c r="AN62" s="110"/>
      <c r="AO62" s="130" t="s">
        <v>46</v>
      </c>
      <c r="AP62" s="111"/>
      <c r="AQ62" s="111"/>
      <c r="AR62" s="111"/>
    </row>
  </sheetData>
  <sheetProtection/>
  <printOptions horizontalCentered="1" verticalCentered="1"/>
  <pageMargins left="0.2361111111111111" right="0.2361111111111111" top="0.15694444444444444" bottom="0.19652777777777777" header="0.11805555555555555" footer="0.19652777777777777"/>
  <pageSetup fitToHeight="65535" fitToWidth="65535" horizontalDpi="300" verticalDpi="300" orientation="landscape" pageOrder="overThenDown" paperSize="43" r:id="rId3"/>
  <rowBreaks count="3" manualBreakCount="3">
    <brk id="29" max="44" man="1"/>
    <brk id="40" max="44" man="1"/>
    <brk id="51" max="44" man="1"/>
  </rowBreaks>
  <colBreaks count="4" manualBreakCount="4">
    <brk id="9" min="18" max="61" man="1"/>
    <brk id="18" min="18" max="61" man="1"/>
    <brk id="27" min="18" max="61" man="1"/>
    <brk id="36" min="18" max="61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403"/>
  <sheetViews>
    <sheetView zoomScaleSheetLayoutView="100" zoomScalePageLayoutView="0" workbookViewId="0" topLeftCell="A235">
      <selection activeCell="K238" sqref="K238"/>
    </sheetView>
  </sheetViews>
  <sheetFormatPr defaultColWidth="5.75390625" defaultRowHeight="13.5"/>
  <cols>
    <col min="1" max="1" width="5.75390625" style="14" customWidth="1" collapsed="1"/>
    <col min="2" max="3" width="2.625" style="10" customWidth="1" collapsed="1"/>
    <col min="4" max="5" width="9.50390625" style="107" hidden="1" customWidth="1" collapsed="1"/>
    <col min="6" max="6" width="6.125" style="14" customWidth="1"/>
    <col min="7" max="7" width="10.375" style="14" customWidth="1" collapsed="1"/>
    <col min="8" max="11" width="5.50390625" style="10" customWidth="1" collapsed="1"/>
    <col min="12" max="12" width="10.375" style="23" customWidth="1" collapsed="1"/>
    <col min="13" max="13" width="6.125" style="23" customWidth="1" collapsed="1"/>
    <col min="14" max="16384" width="5.75390625" style="14" customWidth="1"/>
  </cols>
  <sheetData>
    <row r="1" spans="1:7" ht="13.5" customHeight="1">
      <c r="A1" s="159"/>
      <c r="B1" s="160"/>
      <c r="C1" s="160"/>
      <c r="F1" s="159"/>
      <c r="G1" s="159"/>
    </row>
    <row r="2" spans="1:7" ht="17.25" customHeight="1">
      <c r="A2" s="161" t="s">
        <v>0</v>
      </c>
      <c r="B2" s="163" t="s">
        <v>49</v>
      </c>
      <c r="C2" s="160"/>
      <c r="F2" s="159"/>
      <c r="G2" s="159"/>
    </row>
    <row r="3" spans="1:7" ht="17.25" customHeight="1">
      <c r="A3" s="161"/>
      <c r="B3" s="163" t="s">
        <v>50</v>
      </c>
      <c r="C3" s="160"/>
      <c r="F3" s="159"/>
      <c r="G3" s="159"/>
    </row>
    <row r="4" spans="1:7" ht="17.25" customHeight="1">
      <c r="A4" s="161" t="s">
        <v>3</v>
      </c>
      <c r="B4" s="163" t="s">
        <v>51</v>
      </c>
      <c r="C4" s="160"/>
      <c r="F4" s="159"/>
      <c r="G4" s="159"/>
    </row>
    <row r="5" spans="1:7" ht="17.25" customHeight="1">
      <c r="A5" s="161"/>
      <c r="B5" s="163" t="s">
        <v>52</v>
      </c>
      <c r="C5" s="160"/>
      <c r="F5" s="159"/>
      <c r="G5" s="159"/>
    </row>
    <row r="6" spans="1:7" ht="17.25" customHeight="1">
      <c r="A6" s="161" t="s">
        <v>5</v>
      </c>
      <c r="B6" s="163" t="s">
        <v>53</v>
      </c>
      <c r="C6" s="160"/>
      <c r="F6" s="159"/>
      <c r="G6" s="159"/>
    </row>
    <row r="7" spans="1:7" ht="17.25" customHeight="1">
      <c r="A7" s="161"/>
      <c r="B7" s="165" t="s">
        <v>54</v>
      </c>
      <c r="C7" s="160"/>
      <c r="F7" s="159"/>
      <c r="G7" s="159"/>
    </row>
    <row r="8" spans="1:7" ht="17.25" customHeight="1" hidden="1">
      <c r="A8" s="161"/>
      <c r="B8" s="163"/>
      <c r="C8" s="160"/>
      <c r="F8" s="159"/>
      <c r="G8" s="159"/>
    </row>
    <row r="9" spans="1:7" ht="17.25" customHeight="1" hidden="1">
      <c r="A9" s="161"/>
      <c r="B9" s="163"/>
      <c r="C9" s="160"/>
      <c r="F9" s="159"/>
      <c r="G9" s="159"/>
    </row>
    <row r="10" spans="1:7" ht="17.25" customHeight="1" hidden="1">
      <c r="A10" s="161"/>
      <c r="B10" s="163"/>
      <c r="C10" s="160"/>
      <c r="F10" s="159"/>
      <c r="G10" s="159"/>
    </row>
    <row r="11" spans="1:7" ht="17.25" customHeight="1" hidden="1">
      <c r="A11" s="161"/>
      <c r="B11" s="164"/>
      <c r="C11" s="160"/>
      <c r="F11" s="159"/>
      <c r="G11" s="159"/>
    </row>
    <row r="12" spans="1:2" ht="17.25" customHeight="1" hidden="1">
      <c r="A12" s="162"/>
      <c r="B12" s="110"/>
    </row>
    <row r="14" spans="1:13" ht="14.25" customHeight="1">
      <c r="A14" s="91"/>
      <c r="B14" s="100" t="s">
        <v>55</v>
      </c>
      <c r="C14" s="100"/>
      <c r="D14" s="101"/>
      <c r="E14" s="101"/>
      <c r="F14" s="77"/>
      <c r="G14" s="77"/>
      <c r="H14" s="78"/>
      <c r="I14" s="78"/>
      <c r="J14" s="78"/>
      <c r="K14" s="78"/>
      <c r="L14" s="79"/>
      <c r="M14" s="79"/>
    </row>
    <row r="15" spans="1:13" s="10" customFormat="1" ht="14.25" customHeight="1">
      <c r="A15" s="65" t="s">
        <v>42</v>
      </c>
      <c r="B15" s="178" t="s">
        <v>56</v>
      </c>
      <c r="C15" s="137"/>
      <c r="D15" s="102"/>
      <c r="E15" s="102"/>
      <c r="F15" s="7" t="s">
        <v>57</v>
      </c>
      <c r="G15" s="8" t="s">
        <v>58</v>
      </c>
      <c r="H15" s="8" t="s">
        <v>45</v>
      </c>
      <c r="I15" s="6" t="s">
        <v>59</v>
      </c>
      <c r="J15" s="7" t="s">
        <v>59</v>
      </c>
      <c r="K15" s="8" t="s">
        <v>45</v>
      </c>
      <c r="L15" s="66" t="s">
        <v>58</v>
      </c>
      <c r="M15" s="9" t="s">
        <v>57</v>
      </c>
    </row>
    <row r="16" spans="1:13" ht="14.25" customHeight="1">
      <c r="A16" s="94">
        <v>1</v>
      </c>
      <c r="B16" s="67">
        <v>1</v>
      </c>
      <c r="C16" s="134">
        <v>1</v>
      </c>
      <c r="D16" s="103" t="str">
        <f aca="true" t="shared" si="0" ref="D16:D79">M16&amp;G16</f>
        <v>滋賀岸上 賢一</v>
      </c>
      <c r="E16" s="103" t="str">
        <f aca="true" t="shared" si="1" ref="E16:E79">F16&amp;L16</f>
        <v>和歌山酒井 美希</v>
      </c>
      <c r="F16" s="68" t="str">
        <f>VLOOKUP(IF('ブロック表'!$D$16=9,ゲームNo!$C3,IF('ブロック表'!$D$16=10,ゲームNo!$I3,IF('ブロック表'!$D$16=11,ゲームNo!$O3,ゲームNo!$U3))),'ブロック表'!$A$4:$C$15,3,FALSE)</f>
        <v>和歌山</v>
      </c>
      <c r="G16" s="12" t="str">
        <f>VLOOKUP(IF('ブロック表'!$D$16=9,ゲームNo!$C3,IF('ブロック表'!$D$16=10,ゲームNo!$I3,IF('ブロック表'!$D$16=11,ゲームNo!$O3,ゲームNo!$U3))),'ブロック表'!$A$4:$N$15,5,FALSE)</f>
        <v>岸上 賢一</v>
      </c>
      <c r="H16" s="80"/>
      <c r="I16" s="376" t="s">
        <v>394</v>
      </c>
      <c r="J16" s="81">
        <v>107</v>
      </c>
      <c r="K16" s="80"/>
      <c r="L16" s="13" t="str">
        <f>VLOOKUP(IF('ブロック表'!$D$16=9,ゲームNo!$D3,IF('ブロック表'!$D$16=10,ゲームNo!$J3,IF('ブロック表'!$D$16=11,ゲームNo!$P3,ゲームNo!$V3))),'ブロック表'!$A$4:$N$15,5,FALSE)</f>
        <v>酒井 美希</v>
      </c>
      <c r="M16" s="69" t="str">
        <f>VLOOKUP(IF('ブロック表'!$D$16=9,ゲームNo!$D3,IF('ブロック表'!$D$16=10,ゲームNo!$J3,IF('ブロック表'!$D$16=11,ゲームNo!$P3,ゲームNo!$V3))),'ブロック表'!$A$4:$C$15,3,FALSE)</f>
        <v>滋賀</v>
      </c>
    </row>
    <row r="17" spans="1:13" ht="13.5" customHeight="1">
      <c r="A17" s="95">
        <v>2</v>
      </c>
      <c r="B17" s="70">
        <v>1</v>
      </c>
      <c r="C17" s="132">
        <v>2</v>
      </c>
      <c r="D17" s="104" t="str">
        <f t="shared" si="0"/>
        <v>滋賀末岡 修</v>
      </c>
      <c r="E17" s="104" t="str">
        <f t="shared" si="1"/>
        <v>和歌山大橋 義治</v>
      </c>
      <c r="F17" s="71" t="str">
        <f>VLOOKUP(IF('ブロック表'!$D$16=9,ゲームNo!$C4,IF('ブロック表'!$D$16=10,ゲームNo!$I4,IF('ブロック表'!$D$16=11,ゲームNo!$O4,ゲームNo!$U4))),'ブロック表'!$A$4:$C$15,3,FALSE)</f>
        <v>和歌山</v>
      </c>
      <c r="G17" s="15" t="str">
        <f>VLOOKUP(IF('ブロック表'!$D$16=9,ゲームNo!$C4,IF('ブロック表'!$D$16=10,ゲームNo!$I4,IF('ブロック表'!$D$16=11,ゲームNo!$O4,ゲームNo!$U4))),'ブロック表'!$A$4:$N$15,7,FALSE)</f>
        <v>末岡 修</v>
      </c>
      <c r="H17" s="82"/>
      <c r="I17" s="83">
        <v>116</v>
      </c>
      <c r="J17" s="84" t="s">
        <v>394</v>
      </c>
      <c r="K17" s="82"/>
      <c r="L17" s="16" t="str">
        <f>VLOOKUP(IF('ブロック表'!$D$16=9,ゲームNo!$D4,IF('ブロック表'!$D$16=10,ゲームNo!$J4,IF('ブロック表'!$D$16=11,ゲームNo!$P4,ゲームNo!$V4))),'ブロック表'!$A$4:$N$15,7,FALSE)</f>
        <v>大橋 義治</v>
      </c>
      <c r="M17" s="72" t="str">
        <f>VLOOKUP(IF('ブロック表'!$D$16=9,ゲームNo!$D4,IF('ブロック表'!$D$16=10,ゲームNo!$J4,IF('ブロック表'!$D$16=11,ゲームNo!$P4,ゲームNo!$V4))),'ブロック表'!$A$4:$C$15,3,FALSE)</f>
        <v>滋賀</v>
      </c>
    </row>
    <row r="18" spans="1:13" ht="13.5" customHeight="1">
      <c r="A18" s="95">
        <v>3</v>
      </c>
      <c r="B18" s="70">
        <v>1</v>
      </c>
      <c r="C18" s="132">
        <v>3</v>
      </c>
      <c r="D18" s="104" t="str">
        <f t="shared" si="0"/>
        <v>滋賀杉本 博章</v>
      </c>
      <c r="E18" s="104" t="str">
        <f t="shared" si="1"/>
        <v>和歌山西峰 久祐</v>
      </c>
      <c r="F18" s="71" t="str">
        <f>VLOOKUP(IF('ブロック表'!$D$16=9,ゲームNo!$C5,IF('ブロック表'!$D$16=10,ゲームNo!$I5,IF('ブロック表'!$D$16=11,ゲームNo!$O5,ゲームNo!$U5))),'ブロック表'!$A$4:$C$15,3,FALSE)</f>
        <v>和歌山</v>
      </c>
      <c r="G18" s="15" t="str">
        <f>VLOOKUP(IF('ブロック表'!$D$16=9,ゲームNo!$C5,IF('ブロック表'!$D$16=10,ゲームNo!$I5,IF('ブロック表'!$D$16=11,ゲームNo!$O5,ゲームNo!$U5))),'ブロック表'!$A$4:$N$15,9,FALSE)</f>
        <v>杉本 博章</v>
      </c>
      <c r="H18" s="82"/>
      <c r="I18" s="83" t="s">
        <v>394</v>
      </c>
      <c r="J18" s="84">
        <v>56</v>
      </c>
      <c r="K18" s="82"/>
      <c r="L18" s="16" t="str">
        <f>VLOOKUP(IF('ブロック表'!$D$16=9,ゲームNo!$D5,IF('ブロック表'!$D$16=10,ゲームNo!$J5,IF('ブロック表'!$D$16=11,ゲームNo!$P5,ゲームNo!$V5))),'ブロック表'!$A$4:$N$15,9,FALSE)</f>
        <v>西峰 久祐</v>
      </c>
      <c r="M18" s="72" t="str">
        <f>VLOOKUP(IF('ブロック表'!$D$16=9,ゲームNo!$D5,IF('ブロック表'!$D$16=10,ゲームNo!$J5,IF('ブロック表'!$D$16=11,ゲームNo!$P5,ゲームNo!$V5))),'ブロック表'!$A$4:$C$15,3,FALSE)</f>
        <v>滋賀</v>
      </c>
    </row>
    <row r="19" spans="1:13" ht="13.5" customHeight="1">
      <c r="A19" s="95">
        <v>4</v>
      </c>
      <c r="B19" s="70">
        <v>1</v>
      </c>
      <c r="C19" s="132">
        <v>4</v>
      </c>
      <c r="D19" s="104" t="str">
        <f t="shared" si="0"/>
        <v>滋賀丹次 力良</v>
      </c>
      <c r="E19" s="104" t="str">
        <f t="shared" si="1"/>
        <v>和歌山長田 智紀</v>
      </c>
      <c r="F19" s="71" t="str">
        <f>VLOOKUP(IF('ブロック表'!$D$16=9,ゲームNo!$C6,IF('ブロック表'!$D$16=10,ゲームNo!$I6,IF('ブロック表'!$D$16=11,ゲームNo!$O6,ゲームNo!$U6))),'ブロック表'!$A$4:$C$15,3,FALSE)</f>
        <v>和歌山</v>
      </c>
      <c r="G19" s="15" t="str">
        <f>VLOOKUP(IF('ブロック表'!$D$16=9,ゲームNo!$C6,IF('ブロック表'!$D$16=10,ゲームNo!$I6,IF('ブロック表'!$D$16=11,ゲームNo!$O6,ゲームNo!$U6))),'ブロック表'!$A$4:$N$15,11,FALSE)</f>
        <v>丹次 力良</v>
      </c>
      <c r="H19" s="82"/>
      <c r="I19" s="83">
        <v>97</v>
      </c>
      <c r="J19" s="84" t="s">
        <v>394</v>
      </c>
      <c r="K19" s="82"/>
      <c r="L19" s="16" t="str">
        <f>VLOOKUP(IF('ブロック表'!$D$16=9,ゲームNo!$D6,IF('ブロック表'!$D$16=10,ゲームNo!$J6,IF('ブロック表'!$D$16=11,ゲームNo!$P6,ゲームNo!$V6))),'ブロック表'!$A$4:$N$15,11,FALSE)</f>
        <v>長田 智紀</v>
      </c>
      <c r="M19" s="72" t="str">
        <f>VLOOKUP(IF('ブロック表'!$D$16=9,ゲームNo!$D6,IF('ブロック表'!$D$16=10,ゲームNo!$J6,IF('ブロック表'!$D$16=11,ゲームNo!$P6,ゲームNo!$V6))),'ブロック表'!$A$4:$C$15,3,FALSE)</f>
        <v>滋賀</v>
      </c>
    </row>
    <row r="20" spans="1:13" ht="14.25" customHeight="1">
      <c r="A20" s="96">
        <v>5</v>
      </c>
      <c r="B20" s="73">
        <v>1</v>
      </c>
      <c r="C20" s="133">
        <v>5</v>
      </c>
      <c r="D20" s="105" t="str">
        <f t="shared" si="0"/>
        <v>滋賀和田 宗一郎</v>
      </c>
      <c r="E20" s="105" t="str">
        <f t="shared" si="1"/>
        <v>和歌山大橋 正寛</v>
      </c>
      <c r="F20" s="74" t="str">
        <f>VLOOKUP(IF('ブロック表'!$D$16=9,ゲームNo!$C7,IF('ブロック表'!$D$16=10,ゲームNo!$I7,IF('ブロック表'!$D$16=11,ゲームNo!$O7,ゲームNo!$U7))),'ブロック表'!$A$4:$C$15,3,FALSE)</f>
        <v>和歌山</v>
      </c>
      <c r="G20" s="17" t="str">
        <f>VLOOKUP(IF('ブロック表'!$D$16=9,ゲームNo!$C7,IF('ブロック表'!$D$16=10,ゲームNo!$I7,IF('ブロック表'!$D$16=11,ゲームNo!$O7,ゲームNo!$U7))),'ブロック表'!$A$4:$N$15,13,FALSE)</f>
        <v>和田 宗一郎</v>
      </c>
      <c r="H20" s="85"/>
      <c r="I20" s="86" t="s">
        <v>394</v>
      </c>
      <c r="J20" s="87">
        <v>38</v>
      </c>
      <c r="K20" s="85"/>
      <c r="L20" s="18" t="str">
        <f>VLOOKUP(IF('ブロック表'!$D$16=9,ゲームNo!$D7,IF('ブロック表'!$D$16=10,ゲームNo!$J7,IF('ブロック表'!$D$16=11,ゲームNo!$P7,ゲームNo!$V7))),'ブロック表'!$A$4:$N$15,13,FALSE)</f>
        <v>大橋 正寛</v>
      </c>
      <c r="M20" s="75" t="str">
        <f>VLOOKUP(IF('ブロック表'!$D$16=9,ゲームNo!$D7,IF('ブロック表'!$D$16=10,ゲームNo!$J7,IF('ブロック表'!$D$16=11,ゲームNo!$P7,ゲームNo!$V7))),'ブロック表'!$A$4:$C$15,3,FALSE)</f>
        <v>滋賀</v>
      </c>
    </row>
    <row r="21" spans="1:13" ht="13.5" customHeight="1">
      <c r="A21" s="97">
        <v>6</v>
      </c>
      <c r="B21" s="92">
        <v>2</v>
      </c>
      <c r="C21" s="131">
        <v>1</v>
      </c>
      <c r="D21" s="106" t="str">
        <f t="shared" si="0"/>
        <v>奈良村上 泰辰</v>
      </c>
      <c r="E21" s="106" t="str">
        <f t="shared" si="1"/>
        <v>大阪A岩本 剛</v>
      </c>
      <c r="F21" s="76" t="str">
        <f>VLOOKUP(IF('ブロック表'!$D$16=9,ゲームNo!$C8,IF('ブロック表'!$D$16=10,ゲームNo!$I8,IF('ブロック表'!$D$16=11,ゲームNo!$O8,ゲームNo!$U8))),'ブロック表'!$A$4:$C$15,3,FALSE)</f>
        <v>大阪A</v>
      </c>
      <c r="G21" s="19" t="str">
        <f>VLOOKUP(IF('ブロック表'!$D$16=9,ゲームNo!$C8,IF('ブロック表'!$D$16=10,ゲームNo!$I8,IF('ブロック表'!$D$16=11,ゲームNo!$O8,ゲームNo!$U8))),'ブロック表'!$A$4:$N$15,5,FALSE)</f>
        <v>村上 泰辰</v>
      </c>
      <c r="H21" s="88"/>
      <c r="I21" s="89" t="s">
        <v>394</v>
      </c>
      <c r="J21" s="90">
        <v>5</v>
      </c>
      <c r="K21" s="88"/>
      <c r="L21" s="20" t="str">
        <f>VLOOKUP(IF('ブロック表'!$D$16=9,ゲームNo!$D8,IF('ブロック表'!$D$16=10,ゲームNo!$J8,IF('ブロック表'!$D$16=11,ゲームNo!$P8,ゲームNo!$V8))),'ブロック表'!$A$4:$N$15,5,FALSE)</f>
        <v>岩本 剛</v>
      </c>
      <c r="M21" s="93" t="str">
        <f>VLOOKUP(IF('ブロック表'!$D$16=9,ゲームNo!$D8,IF('ブロック表'!$D$16=10,ゲームNo!$J8,IF('ブロック表'!$D$16=11,ゲームNo!$P8,ゲームNo!$V8))),'ブロック表'!$A$4:$C$15,3,FALSE)</f>
        <v>奈良</v>
      </c>
    </row>
    <row r="22" spans="1:13" ht="13.5" customHeight="1">
      <c r="A22" s="98">
        <v>7</v>
      </c>
      <c r="B22" s="70">
        <v>2</v>
      </c>
      <c r="C22" s="132">
        <v>2</v>
      </c>
      <c r="D22" s="104" t="str">
        <f t="shared" si="0"/>
        <v>奈良山岡 修二</v>
      </c>
      <c r="E22" s="104" t="str">
        <f t="shared" si="1"/>
        <v>大阪A水田 賢宏</v>
      </c>
      <c r="F22" s="71" t="str">
        <f>VLOOKUP(IF('ブロック表'!$D$16=9,ゲームNo!$C9,IF('ブロック表'!$D$16=10,ゲームNo!$I9,IF('ブロック表'!$D$16=11,ゲームNo!$O9,ゲームNo!$U9))),'ブロック表'!$A$4:$C$15,3,FALSE)</f>
        <v>大阪A</v>
      </c>
      <c r="G22" s="15" t="str">
        <f>VLOOKUP(IF('ブロック表'!$D$16=9,ゲームNo!$C9,IF('ブロック表'!$D$16=10,ゲームNo!$I9,IF('ブロック表'!$D$16=11,ゲームNo!$O9,ゲームNo!$U9))),'ブロック表'!$A$4:$N$15,7,FALSE)</f>
        <v>山岡 修二</v>
      </c>
      <c r="H22" s="82" t="s">
        <v>393</v>
      </c>
      <c r="I22" s="83" t="s">
        <v>394</v>
      </c>
      <c r="J22" s="84">
        <v>0</v>
      </c>
      <c r="K22" s="82"/>
      <c r="L22" s="21" t="str">
        <f>VLOOKUP(IF('ブロック表'!$D$16=9,ゲームNo!$D9,IF('ブロック表'!$D$16=10,ゲームNo!$J9,IF('ブロック表'!$D$16=11,ゲームNo!$P9,ゲームNo!$V9))),'ブロック表'!$A$4:$N$15,7,FALSE)</f>
        <v>水田 賢宏</v>
      </c>
      <c r="M22" s="72" t="str">
        <f>VLOOKUP(IF('ブロック表'!$D$16=9,ゲームNo!$D9,IF('ブロック表'!$D$16=10,ゲームNo!$J9,IF('ブロック表'!$D$16=11,ゲームNo!$P9,ゲームNo!$V9))),'ブロック表'!$A$4:$C$15,3,FALSE)</f>
        <v>奈良</v>
      </c>
    </row>
    <row r="23" spans="1:13" ht="13.5" customHeight="1">
      <c r="A23" s="98">
        <v>8</v>
      </c>
      <c r="B23" s="70">
        <v>2</v>
      </c>
      <c r="C23" s="132">
        <v>3</v>
      </c>
      <c r="D23" s="104" t="str">
        <f t="shared" si="0"/>
        <v>奈良吉岡 保俊</v>
      </c>
      <c r="E23" s="104" t="str">
        <f t="shared" si="1"/>
        <v>大阪A長谷川 進</v>
      </c>
      <c r="F23" s="71" t="str">
        <f>VLOOKUP(IF('ブロック表'!$D$16=9,ゲームNo!$C10,IF('ブロック表'!$D$16=10,ゲームNo!$I10,IF('ブロック表'!$D$16=11,ゲームNo!$O10,ゲームNo!$U10))),'ブロック表'!$A$4:$C$15,3,FALSE)</f>
        <v>大阪A</v>
      </c>
      <c r="G23" s="15" t="str">
        <f>VLOOKUP(IF('ブロック表'!$D$16=9,ゲームNo!$C10,IF('ブロック表'!$D$16=10,ゲームNo!$I10,IF('ブロック表'!$D$16=11,ゲームNo!$O10,ゲームNo!$U10))),'ブロック表'!$A$4:$N$15,9,FALSE)</f>
        <v>吉岡 保俊</v>
      </c>
      <c r="H23" s="82"/>
      <c r="I23" s="83" t="s">
        <v>394</v>
      </c>
      <c r="J23" s="84">
        <v>65</v>
      </c>
      <c r="K23" s="82"/>
      <c r="L23" s="21" t="str">
        <f>VLOOKUP(IF('ブロック表'!$D$16=9,ゲームNo!$D10,IF('ブロック表'!$D$16=10,ゲームNo!$J10,IF('ブロック表'!$D$16=11,ゲームNo!$P10,ゲームNo!$V10))),'ブロック表'!$A$4:$N$15,9,FALSE)</f>
        <v>長谷川 進</v>
      </c>
      <c r="M23" s="72" t="str">
        <f>VLOOKUP(IF('ブロック表'!$D$16=9,ゲームNo!$D10,IF('ブロック表'!$D$16=10,ゲームNo!$J10,IF('ブロック表'!$D$16=11,ゲームNo!$P10,ゲームNo!$V10))),'ブロック表'!$A$4:$C$15,3,FALSE)</f>
        <v>奈良</v>
      </c>
    </row>
    <row r="24" spans="1:13" ht="13.5" customHeight="1">
      <c r="A24" s="98">
        <v>9</v>
      </c>
      <c r="B24" s="70">
        <v>2</v>
      </c>
      <c r="C24" s="132">
        <v>4</v>
      </c>
      <c r="D24" s="104" t="str">
        <f t="shared" si="0"/>
        <v>奈良乾 伸綱</v>
      </c>
      <c r="E24" s="104" t="str">
        <f t="shared" si="1"/>
        <v>大阪A植田 慎也</v>
      </c>
      <c r="F24" s="71" t="str">
        <f>VLOOKUP(IF('ブロック表'!$D$16=9,ゲームNo!$C11,IF('ブロック表'!$D$16=10,ゲームNo!$I11,IF('ブロック表'!$D$16=11,ゲームNo!$O11,ゲームNo!$U11))),'ブロック表'!$A$4:$C$15,3,FALSE)</f>
        <v>大阪A</v>
      </c>
      <c r="G24" s="15" t="str">
        <f>VLOOKUP(IF('ブロック表'!$D$16=9,ゲームNo!$C11,IF('ブロック表'!$D$16=10,ゲームNo!$I11,IF('ブロック表'!$D$16=11,ゲームNo!$O11,ゲームNo!$U11))),'ブロック表'!$A$4:$N$15,11,FALSE)</f>
        <v>乾 伸綱</v>
      </c>
      <c r="H24" s="82"/>
      <c r="I24" s="83" t="s">
        <v>394</v>
      </c>
      <c r="J24" s="84">
        <v>105</v>
      </c>
      <c r="K24" s="82"/>
      <c r="L24" s="21" t="str">
        <f>VLOOKUP(IF('ブロック表'!$D$16=9,ゲームNo!$D11,IF('ブロック表'!$D$16=10,ゲームNo!$J11,IF('ブロック表'!$D$16=11,ゲームNo!$P11,ゲームNo!$V11))),'ブロック表'!$A$4:$N$15,11,FALSE)</f>
        <v>植田 慎也</v>
      </c>
      <c r="M24" s="72" t="str">
        <f>VLOOKUP(IF('ブロック表'!$D$16=9,ゲームNo!$D11,IF('ブロック表'!$D$16=10,ゲームNo!$J11,IF('ブロック表'!$D$16=11,ゲームNo!$P11,ゲームNo!$V11))),'ブロック表'!$A$4:$C$15,3,FALSE)</f>
        <v>奈良</v>
      </c>
    </row>
    <row r="25" spans="1:13" ht="14.25" customHeight="1">
      <c r="A25" s="99">
        <v>10</v>
      </c>
      <c r="B25" s="73">
        <v>2</v>
      </c>
      <c r="C25" s="133">
        <v>5</v>
      </c>
      <c r="D25" s="105" t="str">
        <f t="shared" si="0"/>
        <v>奈良山田 玄英</v>
      </c>
      <c r="E25" s="105" t="str">
        <f t="shared" si="1"/>
        <v>大阪A山田 晃司</v>
      </c>
      <c r="F25" s="74" t="str">
        <f>VLOOKUP(IF('ブロック表'!$D$16=9,ゲームNo!$C12,IF('ブロック表'!$D$16=10,ゲームNo!$I12,IF('ブロック表'!$D$16=11,ゲームNo!$O12,ゲームNo!$U12))),'ブロック表'!$A$4:$C$15,3,FALSE)</f>
        <v>大阪A</v>
      </c>
      <c r="G25" s="17" t="str">
        <f>VLOOKUP(IF('ブロック表'!$D$16=9,ゲームNo!$C12,IF('ブロック表'!$D$16=10,ゲームNo!$I12,IF('ブロック表'!$D$16=11,ゲームNo!$O12,ゲームNo!$U12))),'ブロック表'!$A$4:$N$15,13,FALSE)</f>
        <v>山田 玄英</v>
      </c>
      <c r="H25" s="85"/>
      <c r="I25" s="86" t="s">
        <v>394</v>
      </c>
      <c r="J25" s="87">
        <v>116</v>
      </c>
      <c r="K25" s="85"/>
      <c r="L25" s="22" t="str">
        <f>VLOOKUP(IF('ブロック表'!$D$16=9,ゲームNo!$D12,IF('ブロック表'!$D$16=10,ゲームNo!$J12,IF('ブロック表'!$D$16=11,ゲームNo!$P12,ゲームNo!$V12))),'ブロック表'!$A$4:$N$15,13,FALSE)</f>
        <v>山田 晃司</v>
      </c>
      <c r="M25" s="75" t="str">
        <f>VLOOKUP(IF('ブロック表'!$D$16=9,ゲームNo!$D12,IF('ブロック表'!$D$16=10,ゲームNo!$J12,IF('ブロック表'!$D$16=11,ゲームNo!$P12,ゲームNo!$V12))),'ブロック表'!$A$4:$C$15,3,FALSE)</f>
        <v>奈良</v>
      </c>
    </row>
    <row r="26" spans="1:13" ht="13.5" customHeight="1">
      <c r="A26" s="97">
        <v>11</v>
      </c>
      <c r="B26" s="92">
        <v>3</v>
      </c>
      <c r="C26" s="131">
        <v>1</v>
      </c>
      <c r="D26" s="106" t="str">
        <f t="shared" si="0"/>
        <v>三重今村 哲也</v>
      </c>
      <c r="E26" s="106" t="str">
        <f t="shared" si="1"/>
        <v>京都水野 憲一</v>
      </c>
      <c r="F26" s="76" t="str">
        <f>VLOOKUP(IF('ブロック表'!$D$16=9,ゲームNo!$C13,IF('ブロック表'!$D$16=10,ゲームNo!$I13,IF('ブロック表'!$D$16=11,ゲームNo!$O13,ゲームNo!$U13))),'ブロック表'!$A$4:$C$15,3,FALSE)</f>
        <v>京都</v>
      </c>
      <c r="G26" s="19" t="str">
        <f>VLOOKUP(IF('ブロック表'!$D$16=9,ゲームNo!$C13,IF('ブロック表'!$D$16=10,ゲームNo!$I13,IF('ブロック表'!$D$16=11,ゲームNo!$O13,ゲームNo!$U13))),'ブロック表'!$A$4:$N$15,5,FALSE)</f>
        <v>今村 哲也</v>
      </c>
      <c r="H26" s="88">
        <v>112</v>
      </c>
      <c r="I26" s="89" t="s">
        <v>394</v>
      </c>
      <c r="J26" s="90">
        <v>14</v>
      </c>
      <c r="K26" s="88"/>
      <c r="L26" s="20" t="str">
        <f>VLOOKUP(IF('ブロック表'!$D$16=9,ゲームNo!$D13,IF('ブロック表'!$D$16=10,ゲームNo!$J13,IF('ブロック表'!$D$16=11,ゲームNo!$P13,ゲームNo!$V13))),'ブロック表'!$A$4:$N$15,5,FALSE)</f>
        <v>水野 憲一</v>
      </c>
      <c r="M26" s="93" t="str">
        <f>VLOOKUP(IF('ブロック表'!$D$16=9,ゲームNo!$D13,IF('ブロック表'!$D$16=10,ゲームNo!$J13,IF('ブロック表'!$D$16=11,ゲームNo!$P13,ゲームNo!$V13))),'ブロック表'!$A$4:$C$15,3,FALSE)</f>
        <v>三重</v>
      </c>
    </row>
    <row r="27" spans="1:13" ht="13.5" customHeight="1">
      <c r="A27" s="98">
        <v>12</v>
      </c>
      <c r="B27" s="70">
        <v>3</v>
      </c>
      <c r="C27" s="132">
        <v>2</v>
      </c>
      <c r="D27" s="104" t="str">
        <f t="shared" si="0"/>
        <v>三重田附 裕次</v>
      </c>
      <c r="E27" s="104" t="str">
        <f t="shared" si="1"/>
        <v>京都市川 裕貴</v>
      </c>
      <c r="F27" s="71" t="str">
        <f>VLOOKUP(IF('ブロック表'!$D$16=9,ゲームNo!$C14,IF('ブロック表'!$D$16=10,ゲームNo!$I14,IF('ブロック表'!$D$16=11,ゲームNo!$O14,ゲームNo!$U14))),'ブロック表'!$A$4:$C$15,3,FALSE)</f>
        <v>京都</v>
      </c>
      <c r="G27" s="15" t="str">
        <f>VLOOKUP(IF('ブロック表'!$D$16=9,ゲームNo!$C14,IF('ブロック表'!$D$16=10,ゲームNo!$I14,IF('ブロック表'!$D$16=11,ゲームNo!$O14,ゲームNo!$U14))),'ブロック表'!$A$4:$N$15,7,FALSE)</f>
        <v>田附 裕次</v>
      </c>
      <c r="H27" s="82"/>
      <c r="I27" s="83" t="s">
        <v>395</v>
      </c>
      <c r="J27" s="84">
        <v>97</v>
      </c>
      <c r="K27" s="82"/>
      <c r="L27" s="21" t="str">
        <f>VLOOKUP(IF('ブロック表'!$D$16=9,ゲームNo!$D14,IF('ブロック表'!$D$16=10,ゲームNo!$J14,IF('ブロック表'!$D$16=11,ゲームNo!$P14,ゲームNo!$V14))),'ブロック表'!$A$4:$N$15,7,FALSE)</f>
        <v>市川 裕貴</v>
      </c>
      <c r="M27" s="72" t="str">
        <f>VLOOKUP(IF('ブロック表'!$D$16=9,ゲームNo!$D14,IF('ブロック表'!$D$16=10,ゲームNo!$J14,IF('ブロック表'!$D$16=11,ゲームNo!$P14,ゲームNo!$V14))),'ブロック表'!$A$4:$C$15,3,FALSE)</f>
        <v>三重</v>
      </c>
    </row>
    <row r="28" spans="1:13" ht="13.5" customHeight="1">
      <c r="A28" s="98">
        <v>13</v>
      </c>
      <c r="B28" s="70">
        <v>3</v>
      </c>
      <c r="C28" s="132">
        <v>3</v>
      </c>
      <c r="D28" s="104" t="str">
        <f t="shared" si="0"/>
        <v>三重佐藤 雄吾</v>
      </c>
      <c r="E28" s="104" t="str">
        <f t="shared" si="1"/>
        <v>京都黒宮 健二</v>
      </c>
      <c r="F28" s="71" t="str">
        <f>VLOOKUP(IF('ブロック表'!$D$16=9,ゲームNo!$C15,IF('ブロック表'!$D$16=10,ゲームNo!$I15,IF('ブロック表'!$D$16=11,ゲームNo!$O15,ゲームNo!$U15))),'ブロック表'!$A$4:$C$15,3,FALSE)</f>
        <v>京都</v>
      </c>
      <c r="G28" s="15" t="str">
        <f>VLOOKUP(IF('ブロック表'!$D$16=9,ゲームNo!$C15,IF('ブロック表'!$D$16=10,ゲームNo!$I15,IF('ブロック表'!$D$16=11,ゲームNo!$O15,ゲームNo!$U15))),'ブロック表'!$A$4:$N$15,9,FALSE)</f>
        <v>佐藤 雄吾</v>
      </c>
      <c r="H28" s="82"/>
      <c r="I28" s="83" t="s">
        <v>394</v>
      </c>
      <c r="J28" s="84">
        <v>51</v>
      </c>
      <c r="K28" s="82"/>
      <c r="L28" s="21" t="str">
        <f>VLOOKUP(IF('ブロック表'!$D$16=9,ゲームNo!$D15,IF('ブロック表'!$D$16=10,ゲームNo!$J15,IF('ブロック表'!$D$16=11,ゲームNo!$P15,ゲームNo!$V15))),'ブロック表'!$A$4:$N$15,9,FALSE)</f>
        <v>黒宮 健二</v>
      </c>
      <c r="M28" s="72" t="str">
        <f>VLOOKUP(IF('ブロック表'!$D$16=9,ゲームNo!$D15,IF('ブロック表'!$D$16=10,ゲームNo!$J15,IF('ブロック表'!$D$16=11,ゲームNo!$P15,ゲームNo!$V15))),'ブロック表'!$A$4:$C$15,3,FALSE)</f>
        <v>三重</v>
      </c>
    </row>
    <row r="29" spans="1:13" ht="13.5" customHeight="1">
      <c r="A29" s="98">
        <v>14</v>
      </c>
      <c r="B29" s="70">
        <v>3</v>
      </c>
      <c r="C29" s="132">
        <v>4</v>
      </c>
      <c r="D29" s="104" t="str">
        <f t="shared" si="0"/>
        <v>三重加藤 秀万</v>
      </c>
      <c r="E29" s="104" t="str">
        <f t="shared" si="1"/>
        <v>京都杉本 諭</v>
      </c>
      <c r="F29" s="71" t="str">
        <f>VLOOKUP(IF('ブロック表'!$D$16=9,ゲームNo!$C16,IF('ブロック表'!$D$16=10,ゲームNo!$I16,IF('ブロック表'!$D$16=11,ゲームNo!$O16,ゲームNo!$U16))),'ブロック表'!$A$4:$C$15,3,FALSE)</f>
        <v>京都</v>
      </c>
      <c r="G29" s="15" t="str">
        <f>VLOOKUP(IF('ブロック表'!$D$16=9,ゲームNo!$C16,IF('ブロック表'!$D$16=10,ゲームNo!$I16,IF('ブロック表'!$D$16=11,ゲームNo!$O16,ゲームNo!$U16))),'ブロック表'!$A$4:$N$15,11,FALSE)</f>
        <v>加藤 秀万</v>
      </c>
      <c r="H29" s="82"/>
      <c r="I29" s="83">
        <v>24</v>
      </c>
      <c r="J29" s="84" t="s">
        <v>394</v>
      </c>
      <c r="K29" s="82"/>
      <c r="L29" s="21" t="str">
        <f>VLOOKUP(IF('ブロック表'!$D$16=9,ゲームNo!$D16,IF('ブロック表'!$D$16=10,ゲームNo!$J16,IF('ブロック表'!$D$16=11,ゲームNo!$P16,ゲームNo!$V16))),'ブロック表'!$A$4:$N$15,11,FALSE)</f>
        <v>杉本 諭</v>
      </c>
      <c r="M29" s="72" t="str">
        <f>VLOOKUP(IF('ブロック表'!$D$16=9,ゲームNo!$D16,IF('ブロック表'!$D$16=10,ゲームNo!$J16,IF('ブロック表'!$D$16=11,ゲームNo!$P16,ゲームNo!$V16))),'ブロック表'!$A$4:$C$15,3,FALSE)</f>
        <v>三重</v>
      </c>
    </row>
    <row r="30" spans="1:13" ht="14.25" customHeight="1">
      <c r="A30" s="99">
        <v>15</v>
      </c>
      <c r="B30" s="73">
        <v>3</v>
      </c>
      <c r="C30" s="133">
        <v>5</v>
      </c>
      <c r="D30" s="105" t="str">
        <f t="shared" si="0"/>
        <v>三重山下 直生</v>
      </c>
      <c r="E30" s="105" t="str">
        <f t="shared" si="1"/>
        <v>京都森本 英幸</v>
      </c>
      <c r="F30" s="74" t="str">
        <f>VLOOKUP(IF('ブロック表'!$D$16=9,ゲームNo!$C17,IF('ブロック表'!$D$16=10,ゲームNo!$I17,IF('ブロック表'!$D$16=11,ゲームNo!$O17,ゲームNo!$U17))),'ブロック表'!$A$4:$C$15,3,FALSE)</f>
        <v>京都</v>
      </c>
      <c r="G30" s="17" t="str">
        <f>VLOOKUP(IF('ブロック表'!$D$16=9,ゲームNo!$C17,IF('ブロック表'!$D$16=10,ゲームNo!$I17,IF('ブロック表'!$D$16=11,ゲームNo!$O17,ゲームNo!$U17))),'ブロック表'!$A$4:$N$15,13,FALSE)</f>
        <v>山下 直生</v>
      </c>
      <c r="H30" s="85"/>
      <c r="I30" s="86">
        <v>22</v>
      </c>
      <c r="J30" s="87" t="s">
        <v>394</v>
      </c>
      <c r="K30" s="85">
        <v>106</v>
      </c>
      <c r="L30" s="22" t="str">
        <f>VLOOKUP(IF('ブロック表'!$D$16=9,ゲームNo!$D17,IF('ブロック表'!$D$16=10,ゲームNo!$J17,IF('ブロック表'!$D$16=11,ゲームNo!$P17,ゲームNo!$V17))),'ブロック表'!$A$4:$N$15,13,FALSE)</f>
        <v>森本 英幸</v>
      </c>
      <c r="M30" s="75" t="str">
        <f>VLOOKUP(IF('ブロック表'!$D$16=9,ゲームNo!$D17,IF('ブロック表'!$D$16=10,ゲームNo!$J17,IF('ブロック表'!$D$16=11,ゲームNo!$P17,ゲームNo!$V17))),'ブロック表'!$A$4:$C$15,3,FALSE)</f>
        <v>三重</v>
      </c>
    </row>
    <row r="31" spans="1:13" ht="13.5" customHeight="1">
      <c r="A31" s="97">
        <v>16</v>
      </c>
      <c r="B31" s="92">
        <v>4</v>
      </c>
      <c r="C31" s="131">
        <v>1</v>
      </c>
      <c r="D31" s="106" t="str">
        <f t="shared" si="0"/>
        <v>岐阜小川 晃</v>
      </c>
      <c r="E31" s="106" t="str">
        <f t="shared" si="1"/>
        <v>愛知木村 隼人</v>
      </c>
      <c r="F31" s="76" t="str">
        <f>VLOOKUP(IF('ブロック表'!$D$16=9,ゲームNo!$C18,IF('ブロック表'!$D$16=10,ゲームNo!$I18,IF('ブロック表'!$D$16=11,ゲームNo!$O18,ゲームNo!$U18))),'ブロック表'!$A$4:$C$15,3,FALSE)</f>
        <v>愛知</v>
      </c>
      <c r="G31" s="19" t="str">
        <f>VLOOKUP(IF('ブロック表'!$D$16=9,ゲームNo!$C18,IF('ブロック表'!$D$16=10,ゲームNo!$I18,IF('ブロック表'!$D$16=11,ゲームNo!$O18,ゲームNo!$U18))),'ブロック表'!$A$4:$N$15,5,FALSE)</f>
        <v>小川 晃</v>
      </c>
      <c r="H31" s="88">
        <v>105</v>
      </c>
      <c r="I31" s="89" t="s">
        <v>394</v>
      </c>
      <c r="J31" s="90">
        <v>25</v>
      </c>
      <c r="K31" s="88"/>
      <c r="L31" s="20" t="str">
        <f>VLOOKUP(IF('ブロック表'!$D$16=9,ゲームNo!$D18,IF('ブロック表'!$D$16=10,ゲームNo!$J18,IF('ブロック表'!$D$16=11,ゲームNo!$P18,ゲームNo!$V18))),'ブロック表'!$A$4:$N$15,5,FALSE)</f>
        <v>木村 隼人</v>
      </c>
      <c r="M31" s="93" t="str">
        <f>VLOOKUP(IF('ブロック表'!$D$16=9,ゲームNo!$D18,IF('ブロック表'!$D$16=10,ゲームNo!$J18,IF('ブロック表'!$D$16=11,ゲームNo!$P18,ゲームNo!$V18))),'ブロック表'!$A$4:$C$15,3,FALSE)</f>
        <v>岐阜</v>
      </c>
    </row>
    <row r="32" spans="1:13" ht="13.5" customHeight="1">
      <c r="A32" s="98">
        <v>17</v>
      </c>
      <c r="B32" s="70">
        <v>4</v>
      </c>
      <c r="C32" s="132">
        <v>2</v>
      </c>
      <c r="D32" s="104" t="str">
        <f t="shared" si="0"/>
        <v>岐阜櫻井 崇之</v>
      </c>
      <c r="E32" s="104" t="str">
        <f t="shared" si="1"/>
        <v>愛知辻 和美</v>
      </c>
      <c r="F32" s="71" t="str">
        <f>VLOOKUP(IF('ブロック表'!$D$16=9,ゲームNo!$C19,IF('ブロック表'!$D$16=10,ゲームNo!$I19,IF('ブロック表'!$D$16=11,ゲームNo!$O19,ゲームNo!$U19))),'ブロック表'!$A$4:$C$15,3,FALSE)</f>
        <v>愛知</v>
      </c>
      <c r="G32" s="15" t="str">
        <f>VLOOKUP(IF('ブロック表'!$D$16=9,ゲームNo!$C19,IF('ブロック表'!$D$16=10,ゲームNo!$I19,IF('ブロック表'!$D$16=11,ゲームNo!$O19,ゲームNo!$U19))),'ブロック表'!$A$4:$N$15,7,FALSE)</f>
        <v>櫻井 崇之</v>
      </c>
      <c r="H32" s="82"/>
      <c r="I32" s="83" t="s">
        <v>394</v>
      </c>
      <c r="J32" s="84">
        <v>82</v>
      </c>
      <c r="K32" s="82"/>
      <c r="L32" s="21" t="str">
        <f>VLOOKUP(IF('ブロック表'!$D$16=9,ゲームNo!$D19,IF('ブロック表'!$D$16=10,ゲームNo!$J19,IF('ブロック表'!$D$16=11,ゲームNo!$P19,ゲームNo!$V19))),'ブロック表'!$A$4:$N$15,7,FALSE)</f>
        <v>辻 和美</v>
      </c>
      <c r="M32" s="72" t="str">
        <f>VLOOKUP(IF('ブロック表'!$D$16=9,ゲームNo!$D19,IF('ブロック表'!$D$16=10,ゲームNo!$J19,IF('ブロック表'!$D$16=11,ゲームNo!$P19,ゲームNo!$V19))),'ブロック表'!$A$4:$C$15,3,FALSE)</f>
        <v>岐阜</v>
      </c>
    </row>
    <row r="33" spans="1:13" ht="13.5" customHeight="1">
      <c r="A33" s="98">
        <v>18</v>
      </c>
      <c r="B33" s="70">
        <v>4</v>
      </c>
      <c r="C33" s="132">
        <v>3</v>
      </c>
      <c r="D33" s="104" t="str">
        <f t="shared" si="0"/>
        <v>岐阜野田 絢也</v>
      </c>
      <c r="E33" s="104" t="str">
        <f t="shared" si="1"/>
        <v>愛知徳永 修児</v>
      </c>
      <c r="F33" s="71" t="str">
        <f>VLOOKUP(IF('ブロック表'!$D$16=9,ゲームNo!$C20,IF('ブロック表'!$D$16=10,ゲームNo!$I20,IF('ブロック表'!$D$16=11,ゲームNo!$O20,ゲームNo!$U20))),'ブロック表'!$A$4:$C$15,3,FALSE)</f>
        <v>愛知</v>
      </c>
      <c r="G33" s="15" t="str">
        <f>VLOOKUP(IF('ブロック表'!$D$16=9,ゲームNo!$C20,IF('ブロック表'!$D$16=10,ゲームNo!$I20,IF('ブロック表'!$D$16=11,ゲームNo!$O20,ゲームNo!$U20))),'ブロック表'!$A$4:$N$15,9,FALSE)</f>
        <v>野田 絢也</v>
      </c>
      <c r="H33" s="82"/>
      <c r="I33" s="83">
        <v>67</v>
      </c>
      <c r="J33" s="84" t="s">
        <v>394</v>
      </c>
      <c r="K33" s="82"/>
      <c r="L33" s="21" t="str">
        <f>VLOOKUP(IF('ブロック表'!$D$16=9,ゲームNo!$D20,IF('ブロック表'!$D$16=10,ゲームNo!$J20,IF('ブロック表'!$D$16=11,ゲームNo!$P20,ゲームNo!$V20))),'ブロック表'!$A$4:$N$15,9,FALSE)</f>
        <v>徳永 修児</v>
      </c>
      <c r="M33" s="72" t="str">
        <f>VLOOKUP(IF('ブロック表'!$D$16=9,ゲームNo!$D20,IF('ブロック表'!$D$16=10,ゲームNo!$J20,IF('ブロック表'!$D$16=11,ゲームNo!$P20,ゲームNo!$V20))),'ブロック表'!$A$4:$C$15,3,FALSE)</f>
        <v>岐阜</v>
      </c>
    </row>
    <row r="34" spans="1:13" ht="13.5" customHeight="1">
      <c r="A34" s="98">
        <v>19</v>
      </c>
      <c r="B34" s="70">
        <v>4</v>
      </c>
      <c r="C34" s="132">
        <v>4</v>
      </c>
      <c r="D34" s="104" t="str">
        <f t="shared" si="0"/>
        <v>岐阜近藤 智靖</v>
      </c>
      <c r="E34" s="104" t="str">
        <f t="shared" si="1"/>
        <v>愛知高橋 浩之</v>
      </c>
      <c r="F34" s="71" t="str">
        <f>VLOOKUP(IF('ブロック表'!$D$16=9,ゲームNo!$C21,IF('ブロック表'!$D$16=10,ゲームNo!$I21,IF('ブロック表'!$D$16=11,ゲームNo!$O21,ゲームNo!$U21))),'ブロック表'!$A$4:$C$15,3,FALSE)</f>
        <v>愛知</v>
      </c>
      <c r="G34" s="15" t="str">
        <f>VLOOKUP(IF('ブロック表'!$D$16=9,ゲームNo!$C21,IF('ブロック表'!$D$16=10,ゲームNo!$I21,IF('ブロック表'!$D$16=11,ゲームNo!$O21,ゲームNo!$U21))),'ブロック表'!$A$4:$N$15,11,FALSE)</f>
        <v>近藤 智靖</v>
      </c>
      <c r="H34" s="82"/>
      <c r="I34" s="83">
        <v>43</v>
      </c>
      <c r="J34" s="84" t="s">
        <v>394</v>
      </c>
      <c r="K34" s="82"/>
      <c r="L34" s="21" t="str">
        <f>VLOOKUP(IF('ブロック表'!$D$16=9,ゲームNo!$D21,IF('ブロック表'!$D$16=10,ゲームNo!$J21,IF('ブロック表'!$D$16=11,ゲームNo!$P21,ゲームNo!$V21))),'ブロック表'!$A$4:$N$15,11,FALSE)</f>
        <v>高橋 浩之</v>
      </c>
      <c r="M34" s="72" t="str">
        <f>VLOOKUP(IF('ブロック表'!$D$16=9,ゲームNo!$D21,IF('ブロック表'!$D$16=10,ゲームNo!$J21,IF('ブロック表'!$D$16=11,ゲームNo!$P21,ゲームNo!$V21))),'ブロック表'!$A$4:$C$15,3,FALSE)</f>
        <v>岐阜</v>
      </c>
    </row>
    <row r="35" spans="1:13" ht="14.25" customHeight="1">
      <c r="A35" s="99">
        <v>20</v>
      </c>
      <c r="B35" s="73">
        <v>4</v>
      </c>
      <c r="C35" s="133">
        <v>5</v>
      </c>
      <c r="D35" s="105" t="str">
        <f t="shared" si="0"/>
        <v>岐阜島田 隆嗣</v>
      </c>
      <c r="E35" s="105" t="str">
        <f t="shared" si="1"/>
        <v>愛知野原 朋和</v>
      </c>
      <c r="F35" s="74" t="str">
        <f>VLOOKUP(IF('ブロック表'!$D$16=9,ゲームNo!$C22,IF('ブロック表'!$D$16=10,ゲームNo!$I22,IF('ブロック表'!$D$16=11,ゲームNo!$O22,ゲームNo!$U22))),'ブロック表'!$A$4:$C$15,3,FALSE)</f>
        <v>愛知</v>
      </c>
      <c r="G35" s="17" t="str">
        <f>VLOOKUP(IF('ブロック表'!$D$16=9,ゲームNo!$C22,IF('ブロック表'!$D$16=10,ゲームNo!$I22,IF('ブロック表'!$D$16=11,ゲームNo!$O22,ゲームNo!$U22))),'ブロック表'!$A$4:$N$15,13,FALSE)</f>
        <v>島田 隆嗣</v>
      </c>
      <c r="H35" s="85"/>
      <c r="I35" s="86" t="s">
        <v>394</v>
      </c>
      <c r="J35" s="87">
        <v>78</v>
      </c>
      <c r="K35" s="85"/>
      <c r="L35" s="22" t="str">
        <f>VLOOKUP(IF('ブロック表'!$D$16=9,ゲームNo!$D22,IF('ブロック表'!$D$16=10,ゲームNo!$J22,IF('ブロック表'!$D$16=11,ゲームNo!$P22,ゲームNo!$V22))),'ブロック表'!$A$4:$N$15,13,FALSE)</f>
        <v>野原 朋和</v>
      </c>
      <c r="M35" s="75" t="str">
        <f>VLOOKUP(IF('ブロック表'!$D$16=9,ゲームNo!$D22,IF('ブロック表'!$D$16=10,ゲームNo!$J22,IF('ブロック表'!$D$16=11,ゲームNo!$P22,ゲームNo!$V22))),'ブロック表'!$A$4:$C$15,3,FALSE)</f>
        <v>岐阜</v>
      </c>
    </row>
    <row r="36" spans="1:13" ht="13.5" customHeight="1">
      <c r="A36" s="97">
        <v>21</v>
      </c>
      <c r="B36" s="92">
        <v>5</v>
      </c>
      <c r="C36" s="131">
        <v>1</v>
      </c>
      <c r="D36" s="106" t="str">
        <f t="shared" si="0"/>
        <v>大阪B高木 俊行</v>
      </c>
      <c r="E36" s="106" t="str">
        <f t="shared" si="1"/>
        <v>兵庫由本 拓</v>
      </c>
      <c r="F36" s="76" t="str">
        <f>VLOOKUP(IF('ブロック表'!$D$16=9,ゲームNo!$C23,IF('ブロック表'!$D$16=10,ゲームNo!$I23,IF('ブロック表'!$D$16=11,ゲームNo!$O23,ゲームNo!$U23))),'ブロック表'!$A$4:$C$15,3,FALSE)</f>
        <v>兵庫</v>
      </c>
      <c r="G36" s="19" t="str">
        <f>VLOOKUP(IF('ブロック表'!$D$16=9,ゲームNo!$C23,IF('ブロック表'!$D$16=10,ゲームNo!$I23,IF('ブロック表'!$D$16=11,ゲームNo!$O23,ゲームNo!$U23))),'ブロック表'!$A$4:$N$15,5,FALSE)</f>
        <v>高木 俊行</v>
      </c>
      <c r="H36" s="88"/>
      <c r="I36" s="89" t="s">
        <v>394</v>
      </c>
      <c r="J36" s="90">
        <v>113</v>
      </c>
      <c r="K36" s="88"/>
      <c r="L36" s="20" t="str">
        <f>VLOOKUP(IF('ブロック表'!$D$16=9,ゲームNo!$D23,IF('ブロック表'!$D$16=10,ゲームNo!$J23,IF('ブロック表'!$D$16=11,ゲームNo!$P23,ゲームNo!$V23))),'ブロック表'!$A$4:$N$15,5,FALSE)</f>
        <v>由本 拓</v>
      </c>
      <c r="M36" s="93" t="str">
        <f>VLOOKUP(IF('ブロック表'!$D$16=9,ゲームNo!$D23,IF('ブロック表'!$D$16=10,ゲームNo!$J23,IF('ブロック表'!$D$16=11,ゲームNo!$P23,ゲームNo!$V23))),'ブロック表'!$A$4:$C$15,3,FALSE)</f>
        <v>大阪B</v>
      </c>
    </row>
    <row r="37" spans="1:13" ht="13.5" customHeight="1">
      <c r="A37" s="98">
        <v>22</v>
      </c>
      <c r="B37" s="70">
        <v>5</v>
      </c>
      <c r="C37" s="132">
        <v>2</v>
      </c>
      <c r="D37" s="104" t="str">
        <f t="shared" si="0"/>
        <v>大阪B堂園 雅也</v>
      </c>
      <c r="E37" s="104" t="str">
        <f t="shared" si="1"/>
        <v>兵庫西田 恵子</v>
      </c>
      <c r="F37" s="71" t="str">
        <f>VLOOKUP(IF('ブロック表'!$D$16=9,ゲームNo!$C24,IF('ブロック表'!$D$16=10,ゲームNo!$I24,IF('ブロック表'!$D$16=11,ゲームNo!$O24,ゲームNo!$U24))),'ブロック表'!$A$4:$C$15,3,FALSE)</f>
        <v>兵庫</v>
      </c>
      <c r="G37" s="15" t="str">
        <f>VLOOKUP(IF('ブロック表'!$D$16=9,ゲームNo!$C24,IF('ブロック表'!$D$16=10,ゲームNo!$I24,IF('ブロック表'!$D$16=11,ゲームNo!$O24,ゲームNo!$U24))),'ブロック表'!$A$4:$N$15,7,FALSE)</f>
        <v>堂園 雅也</v>
      </c>
      <c r="H37" s="82"/>
      <c r="I37" s="83" t="s">
        <v>394</v>
      </c>
      <c r="J37" s="84">
        <v>28</v>
      </c>
      <c r="K37" s="82"/>
      <c r="L37" s="21" t="str">
        <f>VLOOKUP(IF('ブロック表'!$D$16=9,ゲームNo!$D24,IF('ブロック表'!$D$16=10,ゲームNo!$J24,IF('ブロック表'!$D$16=11,ゲームNo!$P24,ゲームNo!$V24))),'ブロック表'!$A$4:$N$15,7,FALSE)</f>
        <v>西田 恵子</v>
      </c>
      <c r="M37" s="72" t="str">
        <f>VLOOKUP(IF('ブロック表'!$D$16=9,ゲームNo!$D24,IF('ブロック表'!$D$16=10,ゲームNo!$J24,IF('ブロック表'!$D$16=11,ゲームNo!$P24,ゲームNo!$V24))),'ブロック表'!$A$4:$C$15,3,FALSE)</f>
        <v>大阪B</v>
      </c>
    </row>
    <row r="38" spans="1:13" ht="13.5" customHeight="1">
      <c r="A38" s="98">
        <v>23</v>
      </c>
      <c r="B38" s="70">
        <v>5</v>
      </c>
      <c r="C38" s="132">
        <v>3</v>
      </c>
      <c r="D38" s="104" t="str">
        <f t="shared" si="0"/>
        <v>大阪B森 映智</v>
      </c>
      <c r="E38" s="104" t="str">
        <f t="shared" si="1"/>
        <v>兵庫野村 宗司</v>
      </c>
      <c r="F38" s="71" t="str">
        <f>VLOOKUP(IF('ブロック表'!$D$16=9,ゲームNo!$C25,IF('ブロック表'!$D$16=10,ゲームNo!$I25,IF('ブロック表'!$D$16=11,ゲームNo!$O25,ゲームNo!$U25))),'ブロック表'!$A$4:$C$15,3,FALSE)</f>
        <v>兵庫</v>
      </c>
      <c r="G38" s="15" t="str">
        <f>VLOOKUP(IF('ブロック表'!$D$16=9,ゲームNo!$C25,IF('ブロック表'!$D$16=10,ゲームNo!$I25,IF('ブロック表'!$D$16=11,ゲームNo!$O25,ゲームNo!$U25))),'ブロック表'!$A$4:$N$15,9,FALSE)</f>
        <v>森 映智</v>
      </c>
      <c r="H38" s="82"/>
      <c r="I38" s="83">
        <v>65</v>
      </c>
      <c r="J38" s="84" t="s">
        <v>394</v>
      </c>
      <c r="K38" s="82"/>
      <c r="L38" s="21" t="str">
        <f>VLOOKUP(IF('ブロック表'!$D$16=9,ゲームNo!$D25,IF('ブロック表'!$D$16=10,ゲームNo!$J25,IF('ブロック表'!$D$16=11,ゲームNo!$P25,ゲームNo!$V25))),'ブロック表'!$A$4:$N$15,9,FALSE)</f>
        <v>野村 宗司</v>
      </c>
      <c r="M38" s="72" t="str">
        <f>VLOOKUP(IF('ブロック表'!$D$16=9,ゲームNo!$D25,IF('ブロック表'!$D$16=10,ゲームNo!$J25,IF('ブロック表'!$D$16=11,ゲームNo!$P25,ゲームNo!$V25))),'ブロック表'!$A$4:$C$15,3,FALSE)</f>
        <v>大阪B</v>
      </c>
    </row>
    <row r="39" spans="1:13" ht="13.5" customHeight="1">
      <c r="A39" s="98">
        <v>24</v>
      </c>
      <c r="B39" s="70">
        <v>5</v>
      </c>
      <c r="C39" s="132">
        <v>4</v>
      </c>
      <c r="D39" s="104" t="str">
        <f t="shared" si="0"/>
        <v>大阪B白澤 雄一郎</v>
      </c>
      <c r="E39" s="104" t="str">
        <f t="shared" si="1"/>
        <v>兵庫山崎 真紀子</v>
      </c>
      <c r="F39" s="71" t="str">
        <f>VLOOKUP(IF('ブロック表'!$D$16=9,ゲームNo!$C26,IF('ブロック表'!$D$16=10,ゲームNo!$I26,IF('ブロック表'!$D$16=11,ゲームNo!$O26,ゲームNo!$U26))),'ブロック表'!$A$4:$C$15,3,FALSE)</f>
        <v>兵庫</v>
      </c>
      <c r="G39" s="15" t="str">
        <f>VLOOKUP(IF('ブロック表'!$D$16=9,ゲームNo!$C26,IF('ブロック表'!$D$16=10,ゲームNo!$I26,IF('ブロック表'!$D$16=11,ゲームNo!$O26,ゲームNo!$U26))),'ブロック表'!$A$4:$N$15,11,FALSE)</f>
        <v>白澤 雄一郎</v>
      </c>
      <c r="H39" s="82"/>
      <c r="I39" s="83" t="s">
        <v>394</v>
      </c>
      <c r="J39" s="84">
        <v>13</v>
      </c>
      <c r="K39" s="82"/>
      <c r="L39" s="21" t="str">
        <f>VLOOKUP(IF('ブロック表'!$D$16=9,ゲームNo!$D26,IF('ブロック表'!$D$16=10,ゲームNo!$J26,IF('ブロック表'!$D$16=11,ゲームNo!$P26,ゲームNo!$V26))),'ブロック表'!$A$4:$N$15,11,FALSE)</f>
        <v>山崎 真紀子</v>
      </c>
      <c r="M39" s="72" t="str">
        <f>VLOOKUP(IF('ブロック表'!$D$16=9,ゲームNo!$D26,IF('ブロック表'!$D$16=10,ゲームNo!$J26,IF('ブロック表'!$D$16=11,ゲームNo!$P26,ゲームNo!$V26))),'ブロック表'!$A$4:$C$15,3,FALSE)</f>
        <v>大阪B</v>
      </c>
    </row>
    <row r="40" spans="1:13" ht="14.25" customHeight="1">
      <c r="A40" s="99">
        <v>25</v>
      </c>
      <c r="B40" s="73">
        <v>5</v>
      </c>
      <c r="C40" s="133">
        <v>5</v>
      </c>
      <c r="D40" s="105" t="str">
        <f t="shared" si="0"/>
        <v>大阪B平井 洸志</v>
      </c>
      <c r="E40" s="105" t="str">
        <f t="shared" si="1"/>
        <v>兵庫小森 雅昭</v>
      </c>
      <c r="F40" s="74" t="str">
        <f>VLOOKUP(IF('ブロック表'!$D$16=9,ゲームNo!$C27,IF('ブロック表'!$D$16=10,ゲームNo!$I27,IF('ブロック表'!$D$16=11,ゲームNo!$O27,ゲームNo!$U27))),'ブロック表'!$A$4:$C$15,3,FALSE)</f>
        <v>兵庫</v>
      </c>
      <c r="G40" s="17" t="str">
        <f>VLOOKUP(IF('ブロック表'!$D$16=9,ゲームNo!$C27,IF('ブロック表'!$D$16=10,ゲームNo!$I27,IF('ブロック表'!$D$16=11,ゲームNo!$O27,ゲームNo!$U27))),'ブロック表'!$A$4:$N$15,13,FALSE)</f>
        <v>平井 洸志</v>
      </c>
      <c r="H40" s="85"/>
      <c r="I40" s="86">
        <v>14</v>
      </c>
      <c r="J40" s="87" t="s">
        <v>394</v>
      </c>
      <c r="K40" s="85"/>
      <c r="L40" s="22" t="str">
        <f>VLOOKUP(IF('ブロック表'!$D$16=9,ゲームNo!$D27,IF('ブロック表'!$D$16=10,ゲームNo!$J27,IF('ブロック表'!$D$16=11,ゲームNo!$P27,ゲームNo!$V27))),'ブロック表'!$A$4:$N$15,13,FALSE)</f>
        <v>小森 雅昭</v>
      </c>
      <c r="M40" s="75" t="str">
        <f>VLOOKUP(IF('ブロック表'!$D$16=9,ゲームNo!$D27,IF('ブロック表'!$D$16=10,ゲームNo!$J27,IF('ブロック表'!$D$16=11,ゲームNo!$P27,ゲームNo!$V27))),'ブロック表'!$A$4:$C$15,3,FALSE)</f>
        <v>大阪B</v>
      </c>
    </row>
    <row r="41" spans="1:13" ht="13.5" customHeight="1">
      <c r="A41" s="97">
        <v>26</v>
      </c>
      <c r="B41" s="92">
        <v>6</v>
      </c>
      <c r="C41" s="131">
        <v>1</v>
      </c>
      <c r="D41" s="106" t="str">
        <f t="shared" si="0"/>
        <v>和歌山村上 泰辰</v>
      </c>
      <c r="E41" s="106" t="str">
        <f t="shared" si="1"/>
        <v>大阪A岸上 賢一</v>
      </c>
      <c r="F41" s="76" t="str">
        <f>VLOOKUP(IF('ブロック表'!$D$16=9,ゲームNo!$C28,IF('ブロック表'!$D$16=10,ゲームNo!$I28,IF('ブロック表'!$D$16=11,ゲームNo!$O28,ゲームNo!$U28))),'ブロック表'!$A$4:$C$15,3,FALSE)</f>
        <v>大阪A</v>
      </c>
      <c r="G41" s="19" t="str">
        <f>VLOOKUP(IF('ブロック表'!$D$16=9,ゲームNo!$C28,IF('ブロック表'!$D$16=10,ゲームNo!$I28,IF('ブロック表'!$D$16=11,ゲームNo!$O28,ゲームNo!$U28))),'ブロック表'!$A$4:$N$15,5,FALSE)</f>
        <v>村上 泰辰</v>
      </c>
      <c r="H41" s="88">
        <v>117</v>
      </c>
      <c r="I41" s="89" t="s">
        <v>394</v>
      </c>
      <c r="J41" s="90">
        <v>58</v>
      </c>
      <c r="K41" s="88"/>
      <c r="L41" s="20" t="str">
        <f>VLOOKUP(IF('ブロック表'!$D$16=9,ゲームNo!$D28,IF('ブロック表'!$D$16=10,ゲームNo!$J28,IF('ブロック表'!$D$16=11,ゲームNo!$P28,ゲームNo!$V28))),'ブロック表'!$A$4:$N$15,5,FALSE)</f>
        <v>岸上 賢一</v>
      </c>
      <c r="M41" s="93" t="str">
        <f>VLOOKUP(IF('ブロック表'!$D$16=9,ゲームNo!$D28,IF('ブロック表'!$D$16=10,ゲームNo!$J28,IF('ブロック表'!$D$16=11,ゲームNo!$P28,ゲームNo!$V28))),'ブロック表'!$A$4:$C$15,3,FALSE)</f>
        <v>和歌山</v>
      </c>
    </row>
    <row r="42" spans="1:13" ht="13.5" customHeight="1">
      <c r="A42" s="98">
        <v>27</v>
      </c>
      <c r="B42" s="70">
        <v>6</v>
      </c>
      <c r="C42" s="132">
        <v>2</v>
      </c>
      <c r="D42" s="104" t="str">
        <f t="shared" si="0"/>
        <v>和歌山山岡 修二</v>
      </c>
      <c r="E42" s="104" t="str">
        <f t="shared" si="1"/>
        <v>大阪A末岡 修</v>
      </c>
      <c r="F42" s="71" t="str">
        <f>VLOOKUP(IF('ブロック表'!$D$16=9,ゲームNo!$C29,IF('ブロック表'!$D$16=10,ゲームNo!$I29,IF('ブロック表'!$D$16=11,ゲームNo!$O29,ゲームNo!$U29))),'ブロック表'!$A$4:$C$15,3,FALSE)</f>
        <v>大阪A</v>
      </c>
      <c r="G42" s="15" t="str">
        <f>VLOOKUP(IF('ブロック表'!$D$16=9,ゲームNo!$C29,IF('ブロック表'!$D$16=10,ゲームNo!$I29,IF('ブロック表'!$D$16=11,ゲームNo!$O29,ゲームNo!$U29))),'ブロック表'!$A$4:$N$15,7,FALSE)</f>
        <v>山岡 修二</v>
      </c>
      <c r="H42" s="82"/>
      <c r="I42" s="83">
        <v>39</v>
      </c>
      <c r="J42" s="84" t="s">
        <v>395</v>
      </c>
      <c r="K42" s="82"/>
      <c r="L42" s="21" t="str">
        <f>VLOOKUP(IF('ブロック表'!$D$16=9,ゲームNo!$D29,IF('ブロック表'!$D$16=10,ゲームNo!$J29,IF('ブロック表'!$D$16=11,ゲームNo!$P29,ゲームNo!$V29))),'ブロック表'!$A$4:$N$15,7,FALSE)</f>
        <v>末岡 修</v>
      </c>
      <c r="M42" s="72" t="str">
        <f>VLOOKUP(IF('ブロック表'!$D$16=9,ゲームNo!$D29,IF('ブロック表'!$D$16=10,ゲームNo!$J29,IF('ブロック表'!$D$16=11,ゲームNo!$P29,ゲームNo!$V29))),'ブロック表'!$A$4:$C$15,3,FALSE)</f>
        <v>和歌山</v>
      </c>
    </row>
    <row r="43" spans="1:13" ht="13.5" customHeight="1">
      <c r="A43" s="98">
        <v>28</v>
      </c>
      <c r="B43" s="70">
        <v>6</v>
      </c>
      <c r="C43" s="132">
        <v>3</v>
      </c>
      <c r="D43" s="104" t="str">
        <f t="shared" si="0"/>
        <v>和歌山吉岡 保俊</v>
      </c>
      <c r="E43" s="104" t="str">
        <f t="shared" si="1"/>
        <v>大阪A杉本 博章</v>
      </c>
      <c r="F43" s="71" t="str">
        <f>VLOOKUP(IF('ブロック表'!$D$16=9,ゲームNo!$C30,IF('ブロック表'!$D$16=10,ゲームNo!$I30,IF('ブロック表'!$D$16=11,ゲームNo!$O30,ゲームNo!$U30))),'ブロック表'!$A$4:$C$15,3,FALSE)</f>
        <v>大阪A</v>
      </c>
      <c r="G43" s="15" t="str">
        <f>VLOOKUP(IF('ブロック表'!$D$16=9,ゲームNo!$C30,IF('ブロック表'!$D$16=10,ゲームNo!$I30,IF('ブロック表'!$D$16=11,ゲームNo!$O30,ゲームNo!$U30))),'ブロック表'!$A$4:$N$15,9,FALSE)</f>
        <v>吉岡 保俊</v>
      </c>
      <c r="H43" s="82">
        <v>118</v>
      </c>
      <c r="I43" s="83" t="s">
        <v>394</v>
      </c>
      <c r="J43" s="84">
        <v>3</v>
      </c>
      <c r="K43" s="82"/>
      <c r="L43" s="21" t="str">
        <f>VLOOKUP(IF('ブロック表'!$D$16=9,ゲームNo!$D30,IF('ブロック表'!$D$16=10,ゲームNo!$J30,IF('ブロック表'!$D$16=11,ゲームNo!$P30,ゲームNo!$V30))),'ブロック表'!$A$4:$N$15,9,FALSE)</f>
        <v>杉本 博章</v>
      </c>
      <c r="M43" s="72" t="str">
        <f>VLOOKUP(IF('ブロック表'!$D$16=9,ゲームNo!$D30,IF('ブロック表'!$D$16=10,ゲームNo!$J30,IF('ブロック表'!$D$16=11,ゲームNo!$P30,ゲームNo!$V30))),'ブロック表'!$A$4:$C$15,3,FALSE)</f>
        <v>和歌山</v>
      </c>
    </row>
    <row r="44" spans="1:13" ht="13.5" customHeight="1">
      <c r="A44" s="98">
        <v>29</v>
      </c>
      <c r="B44" s="70">
        <v>6</v>
      </c>
      <c r="C44" s="132">
        <v>4</v>
      </c>
      <c r="D44" s="104" t="str">
        <f t="shared" si="0"/>
        <v>和歌山乾 伸綱</v>
      </c>
      <c r="E44" s="104" t="str">
        <f t="shared" si="1"/>
        <v>大阪A丹次 力良</v>
      </c>
      <c r="F44" s="71" t="str">
        <f>VLOOKUP(IF('ブロック表'!$D$16=9,ゲームNo!$C31,IF('ブロック表'!$D$16=10,ゲームNo!$I31,IF('ブロック表'!$D$16=11,ゲームNo!$O31,ゲームNo!$U31))),'ブロック表'!$A$4:$C$15,3,FALSE)</f>
        <v>大阪A</v>
      </c>
      <c r="G44" s="15" t="str">
        <f>VLOOKUP(IF('ブロック表'!$D$16=9,ゲームNo!$C31,IF('ブロック表'!$D$16=10,ゲームNo!$I31,IF('ブロック表'!$D$16=11,ゲームNo!$O31,ゲームNo!$U31))),'ブロック表'!$A$4:$N$15,11,FALSE)</f>
        <v>乾 伸綱</v>
      </c>
      <c r="H44" s="82"/>
      <c r="I44" s="83" t="s">
        <v>394</v>
      </c>
      <c r="J44" s="84">
        <v>93</v>
      </c>
      <c r="K44" s="82"/>
      <c r="L44" s="21" t="str">
        <f>VLOOKUP(IF('ブロック表'!$D$16=9,ゲームNo!$D31,IF('ブロック表'!$D$16=10,ゲームNo!$J31,IF('ブロック表'!$D$16=11,ゲームNo!$P31,ゲームNo!$V31))),'ブロック表'!$A$4:$N$15,11,FALSE)</f>
        <v>丹次 力良</v>
      </c>
      <c r="M44" s="72" t="str">
        <f>VLOOKUP(IF('ブロック表'!$D$16=9,ゲームNo!$D31,IF('ブロック表'!$D$16=10,ゲームNo!$J31,IF('ブロック表'!$D$16=11,ゲームNo!$P31,ゲームNo!$V31))),'ブロック表'!$A$4:$C$15,3,FALSE)</f>
        <v>和歌山</v>
      </c>
    </row>
    <row r="45" spans="1:13" ht="14.25" customHeight="1">
      <c r="A45" s="99">
        <v>30</v>
      </c>
      <c r="B45" s="73">
        <v>6</v>
      </c>
      <c r="C45" s="133">
        <v>5</v>
      </c>
      <c r="D45" s="105" t="str">
        <f t="shared" si="0"/>
        <v>和歌山山田 玄英</v>
      </c>
      <c r="E45" s="105" t="str">
        <f t="shared" si="1"/>
        <v>大阪A和田 宗一郎</v>
      </c>
      <c r="F45" s="74" t="str">
        <f>VLOOKUP(IF('ブロック表'!$D$16=9,ゲームNo!$C32,IF('ブロック表'!$D$16=10,ゲームNo!$I32,IF('ブロック表'!$D$16=11,ゲームNo!$O32,ゲームNo!$U32))),'ブロック表'!$A$4:$C$15,3,FALSE)</f>
        <v>大阪A</v>
      </c>
      <c r="G45" s="17" t="str">
        <f>VLOOKUP(IF('ブロック表'!$D$16=9,ゲームNo!$C32,IF('ブロック表'!$D$16=10,ゲームNo!$I32,IF('ブロック表'!$D$16=11,ゲームNo!$O32,ゲームNo!$U32))),'ブロック表'!$A$4:$N$15,13,FALSE)</f>
        <v>山田 玄英</v>
      </c>
      <c r="H45" s="85"/>
      <c r="I45" s="86" t="s">
        <v>394</v>
      </c>
      <c r="J45" s="87">
        <v>51</v>
      </c>
      <c r="K45" s="85"/>
      <c r="L45" s="22" t="str">
        <f>VLOOKUP(IF('ブロック表'!$D$16=9,ゲームNo!$D32,IF('ブロック表'!$D$16=10,ゲームNo!$J32,IF('ブロック表'!$D$16=11,ゲームNo!$P32,ゲームNo!$V32))),'ブロック表'!$A$4:$N$15,13,FALSE)</f>
        <v>和田 宗一郎</v>
      </c>
      <c r="M45" s="75" t="str">
        <f>VLOOKUP(IF('ブロック表'!$D$16=9,ゲームNo!$D32,IF('ブロック表'!$D$16=10,ゲームNo!$J32,IF('ブロック表'!$D$16=11,ゲームNo!$P32,ゲームNo!$V32))),'ブロック表'!$A$4:$C$15,3,FALSE)</f>
        <v>和歌山</v>
      </c>
    </row>
    <row r="46" spans="1:13" ht="13.5" customHeight="1">
      <c r="A46" s="97">
        <v>31</v>
      </c>
      <c r="B46" s="92">
        <v>7</v>
      </c>
      <c r="C46" s="131">
        <v>1</v>
      </c>
      <c r="D46" s="106" t="str">
        <f t="shared" si="0"/>
        <v>滋賀今村 哲也</v>
      </c>
      <c r="E46" s="106" t="str">
        <f t="shared" si="1"/>
        <v>京都酒井 美希</v>
      </c>
      <c r="F46" s="76" t="str">
        <f>VLOOKUP(IF('ブロック表'!$D$16=9,ゲームNo!$C33,IF('ブロック表'!$D$16=10,ゲームNo!$I33,IF('ブロック表'!$D$16=11,ゲームNo!$O33,ゲームNo!$U33))),'ブロック表'!$A$4:$C$15,3,FALSE)</f>
        <v>京都</v>
      </c>
      <c r="G46" s="19" t="str">
        <f>VLOOKUP(IF('ブロック表'!$D$16=9,ゲームNo!$C33,IF('ブロック表'!$D$16=10,ゲームNo!$I33,IF('ブロック表'!$D$16=11,ゲームNo!$O33,ゲームNo!$U33))),'ブロック表'!$A$4:$N$15,5,FALSE)</f>
        <v>今村 哲也</v>
      </c>
      <c r="H46" s="88"/>
      <c r="I46" s="89" t="s">
        <v>394</v>
      </c>
      <c r="J46" s="90">
        <v>48</v>
      </c>
      <c r="K46" s="88"/>
      <c r="L46" s="20" t="str">
        <f>VLOOKUP(IF('ブロック表'!$D$16=9,ゲームNo!$D33,IF('ブロック表'!$D$16=10,ゲームNo!$J33,IF('ブロック表'!$D$16=11,ゲームNo!$P33,ゲームNo!$V33))),'ブロック表'!$A$4:$N$15,5,FALSE)</f>
        <v>酒井 美希</v>
      </c>
      <c r="M46" s="93" t="str">
        <f>VLOOKUP(IF('ブロック表'!$D$16=9,ゲームNo!$D33,IF('ブロック表'!$D$16=10,ゲームNo!$J33,IF('ブロック表'!$D$16=11,ゲームNo!$P33,ゲームNo!$V33))),'ブロック表'!$A$4:$C$15,3,FALSE)</f>
        <v>滋賀</v>
      </c>
    </row>
    <row r="47" spans="1:13" ht="13.5" customHeight="1">
      <c r="A47" s="98">
        <v>32</v>
      </c>
      <c r="B47" s="70">
        <v>7</v>
      </c>
      <c r="C47" s="132">
        <v>2</v>
      </c>
      <c r="D47" s="104" t="str">
        <f t="shared" si="0"/>
        <v>滋賀田附 裕次</v>
      </c>
      <c r="E47" s="104" t="str">
        <f t="shared" si="1"/>
        <v>京都大橋 義治</v>
      </c>
      <c r="F47" s="71" t="str">
        <f>VLOOKUP(IF('ブロック表'!$D$16=9,ゲームNo!$C34,IF('ブロック表'!$D$16=10,ゲームNo!$I34,IF('ブロック表'!$D$16=11,ゲームNo!$O34,ゲームNo!$U34))),'ブロック表'!$A$4:$C$15,3,FALSE)</f>
        <v>京都</v>
      </c>
      <c r="G47" s="15" t="str">
        <f>VLOOKUP(IF('ブロック表'!$D$16=9,ゲームNo!$C34,IF('ブロック表'!$D$16=10,ゲームNo!$I34,IF('ブロック表'!$D$16=11,ゲームNo!$O34,ゲームNo!$U34))),'ブロック表'!$A$4:$N$15,7,FALSE)</f>
        <v>田附 裕次</v>
      </c>
      <c r="H47" s="82"/>
      <c r="I47" s="83">
        <v>68</v>
      </c>
      <c r="J47" s="84" t="s">
        <v>398</v>
      </c>
      <c r="K47" s="82"/>
      <c r="L47" s="21" t="str">
        <f>VLOOKUP(IF('ブロック表'!$D$16=9,ゲームNo!$D34,IF('ブロック表'!$D$16=10,ゲームNo!$J34,IF('ブロック表'!$D$16=11,ゲームNo!$P34,ゲームNo!$V34))),'ブロック表'!$A$4:$N$15,7,FALSE)</f>
        <v>大橋 義治</v>
      </c>
      <c r="M47" s="72" t="str">
        <f>VLOOKUP(IF('ブロック表'!$D$16=9,ゲームNo!$D34,IF('ブロック表'!$D$16=10,ゲームNo!$J34,IF('ブロック表'!$D$16=11,ゲームNo!$P34,ゲームNo!$V34))),'ブロック表'!$A$4:$C$15,3,FALSE)</f>
        <v>滋賀</v>
      </c>
    </row>
    <row r="48" spans="1:13" ht="13.5" customHeight="1">
      <c r="A48" s="98">
        <v>33</v>
      </c>
      <c r="B48" s="70">
        <v>7</v>
      </c>
      <c r="C48" s="132">
        <v>3</v>
      </c>
      <c r="D48" s="104" t="str">
        <f t="shared" si="0"/>
        <v>滋賀佐藤 雄吾</v>
      </c>
      <c r="E48" s="104" t="str">
        <f t="shared" si="1"/>
        <v>京都西峰 久祐</v>
      </c>
      <c r="F48" s="71" t="str">
        <f>VLOOKUP(IF('ブロック表'!$D$16=9,ゲームNo!$C35,IF('ブロック表'!$D$16=10,ゲームNo!$I35,IF('ブロック表'!$D$16=11,ゲームNo!$O35,ゲームNo!$U35))),'ブロック表'!$A$4:$C$15,3,FALSE)</f>
        <v>京都</v>
      </c>
      <c r="G48" s="15" t="str">
        <f>VLOOKUP(IF('ブロック表'!$D$16=9,ゲームNo!$C35,IF('ブロック表'!$D$16=10,ゲームNo!$I35,IF('ブロック表'!$D$16=11,ゲームNo!$O35,ゲームNo!$U35))),'ブロック表'!$A$4:$N$15,9,FALSE)</f>
        <v>佐藤 雄吾</v>
      </c>
      <c r="H48" s="82"/>
      <c r="I48" s="83" t="s">
        <v>394</v>
      </c>
      <c r="J48" s="84">
        <v>7</v>
      </c>
      <c r="K48" s="82"/>
      <c r="L48" s="21" t="str">
        <f>VLOOKUP(IF('ブロック表'!$D$16=9,ゲームNo!$D35,IF('ブロック表'!$D$16=10,ゲームNo!$J35,IF('ブロック表'!$D$16=11,ゲームNo!$P35,ゲームNo!$V35))),'ブロック表'!$A$4:$N$15,9,FALSE)</f>
        <v>西峰 久祐</v>
      </c>
      <c r="M48" s="72" t="str">
        <f>VLOOKUP(IF('ブロック表'!$D$16=9,ゲームNo!$D35,IF('ブロック表'!$D$16=10,ゲームNo!$J35,IF('ブロック表'!$D$16=11,ゲームNo!$P35,ゲームNo!$V35))),'ブロック表'!$A$4:$C$15,3,FALSE)</f>
        <v>滋賀</v>
      </c>
    </row>
    <row r="49" spans="1:13" ht="13.5" customHeight="1">
      <c r="A49" s="98">
        <v>34</v>
      </c>
      <c r="B49" s="70">
        <v>7</v>
      </c>
      <c r="C49" s="132">
        <v>4</v>
      </c>
      <c r="D49" s="104" t="str">
        <f t="shared" si="0"/>
        <v>滋賀加藤 秀万</v>
      </c>
      <c r="E49" s="104" t="str">
        <f t="shared" si="1"/>
        <v>京都長田 智紀</v>
      </c>
      <c r="F49" s="71" t="str">
        <f>VLOOKUP(IF('ブロック表'!$D$16=9,ゲームNo!$C36,IF('ブロック表'!$D$16=10,ゲームNo!$I36,IF('ブロック表'!$D$16=11,ゲームNo!$O36,ゲームNo!$U36))),'ブロック表'!$A$4:$C$15,3,FALSE)</f>
        <v>京都</v>
      </c>
      <c r="G49" s="15" t="str">
        <f>VLOOKUP(IF('ブロック表'!$D$16=9,ゲームNo!$C36,IF('ブロック表'!$D$16=10,ゲームNo!$I36,IF('ブロック表'!$D$16=11,ゲームNo!$O36,ゲームNo!$U36))),'ブロック表'!$A$4:$N$15,11,FALSE)</f>
        <v>加藤 秀万</v>
      </c>
      <c r="H49" s="82"/>
      <c r="I49" s="83" t="s">
        <v>394</v>
      </c>
      <c r="J49" s="84">
        <v>87</v>
      </c>
      <c r="K49" s="82"/>
      <c r="L49" s="21" t="str">
        <f>VLOOKUP(IF('ブロック表'!$D$16=9,ゲームNo!$D36,IF('ブロック表'!$D$16=10,ゲームNo!$J36,IF('ブロック表'!$D$16=11,ゲームNo!$P36,ゲームNo!$V36))),'ブロック表'!$A$4:$N$15,11,FALSE)</f>
        <v>長田 智紀</v>
      </c>
      <c r="M49" s="72" t="str">
        <f>VLOOKUP(IF('ブロック表'!$D$16=9,ゲームNo!$D36,IF('ブロック表'!$D$16=10,ゲームNo!$J36,IF('ブロック表'!$D$16=11,ゲームNo!$P36,ゲームNo!$V36))),'ブロック表'!$A$4:$C$15,3,FALSE)</f>
        <v>滋賀</v>
      </c>
    </row>
    <row r="50" spans="1:13" ht="14.25" customHeight="1">
      <c r="A50" s="99">
        <v>35</v>
      </c>
      <c r="B50" s="73">
        <v>7</v>
      </c>
      <c r="C50" s="133">
        <v>5</v>
      </c>
      <c r="D50" s="105" t="str">
        <f t="shared" si="0"/>
        <v>滋賀山下 直生</v>
      </c>
      <c r="E50" s="105" t="str">
        <f t="shared" si="1"/>
        <v>京都大橋 正寛</v>
      </c>
      <c r="F50" s="74" t="str">
        <f>VLOOKUP(IF('ブロック表'!$D$16=9,ゲームNo!$C37,IF('ブロック表'!$D$16=10,ゲームNo!$I37,IF('ブロック表'!$D$16=11,ゲームNo!$O37,ゲームNo!$U37))),'ブロック表'!$A$4:$C$15,3,FALSE)</f>
        <v>京都</v>
      </c>
      <c r="G50" s="17" t="str">
        <f>VLOOKUP(IF('ブロック表'!$D$16=9,ゲームNo!$C37,IF('ブロック表'!$D$16=10,ゲームNo!$I37,IF('ブロック表'!$D$16=11,ゲームNo!$O37,ゲームNo!$U37))),'ブロック表'!$A$4:$N$15,13,FALSE)</f>
        <v>山下 直生</v>
      </c>
      <c r="H50" s="85"/>
      <c r="I50" s="86" t="s">
        <v>394</v>
      </c>
      <c r="J50" s="87">
        <v>36</v>
      </c>
      <c r="K50" s="85"/>
      <c r="L50" s="22" t="str">
        <f>VLOOKUP(IF('ブロック表'!$D$16=9,ゲームNo!$D37,IF('ブロック表'!$D$16=10,ゲームNo!$J37,IF('ブロック表'!$D$16=11,ゲームNo!$P37,ゲームNo!$V37))),'ブロック表'!$A$4:$N$15,13,FALSE)</f>
        <v>大橋 正寛</v>
      </c>
      <c r="M50" s="75" t="str">
        <f>VLOOKUP(IF('ブロック表'!$D$16=9,ゲームNo!$D37,IF('ブロック表'!$D$16=10,ゲームNo!$J37,IF('ブロック表'!$D$16=11,ゲームNo!$P37,ゲームNo!$V37))),'ブロック表'!$A$4:$C$15,3,FALSE)</f>
        <v>滋賀</v>
      </c>
    </row>
    <row r="51" spans="1:13" ht="13.5" customHeight="1">
      <c r="A51" s="97">
        <v>36</v>
      </c>
      <c r="B51" s="92">
        <v>8</v>
      </c>
      <c r="C51" s="131">
        <v>1</v>
      </c>
      <c r="D51" s="106" t="str">
        <f t="shared" si="0"/>
        <v>奈良小川 晃</v>
      </c>
      <c r="E51" s="106" t="str">
        <f t="shared" si="1"/>
        <v>愛知岩本 剛</v>
      </c>
      <c r="F51" s="76" t="str">
        <f>VLOOKUP(IF('ブロック表'!$D$16=9,ゲームNo!$C38,IF('ブロック表'!$D$16=10,ゲームNo!$I38,IF('ブロック表'!$D$16=11,ゲームNo!$O38,ゲームNo!$U38))),'ブロック表'!$A$4:$C$15,3,FALSE)</f>
        <v>愛知</v>
      </c>
      <c r="G51" s="19" t="str">
        <f>VLOOKUP(IF('ブロック表'!$D$16=9,ゲームNo!$C38,IF('ブロック表'!$D$16=10,ゲームNo!$I38,IF('ブロック表'!$D$16=11,ゲームNo!$O38,ゲームNo!$U38))),'ブロック表'!$A$4:$N$15,5,FALSE)</f>
        <v>小川 晃</v>
      </c>
      <c r="H51" s="88"/>
      <c r="I51" s="89" t="s">
        <v>394</v>
      </c>
      <c r="J51" s="90">
        <v>27</v>
      </c>
      <c r="K51" s="88"/>
      <c r="L51" s="20" t="str">
        <f>VLOOKUP(IF('ブロック表'!$D$16=9,ゲームNo!$D38,IF('ブロック表'!$D$16=10,ゲームNo!$J38,IF('ブロック表'!$D$16=11,ゲームNo!$P38,ゲームNo!$V38))),'ブロック表'!$A$4:$N$15,5,FALSE)</f>
        <v>岩本 剛</v>
      </c>
      <c r="M51" s="93" t="str">
        <f>VLOOKUP(IF('ブロック表'!$D$16=9,ゲームNo!$D38,IF('ブロック表'!$D$16=10,ゲームNo!$J38,IF('ブロック表'!$D$16=11,ゲームNo!$P38,ゲームNo!$V38))),'ブロック表'!$A$4:$C$15,3,FALSE)</f>
        <v>奈良</v>
      </c>
    </row>
    <row r="52" spans="1:13" ht="13.5" customHeight="1">
      <c r="A52" s="98">
        <v>37</v>
      </c>
      <c r="B52" s="70">
        <v>8</v>
      </c>
      <c r="C52" s="132">
        <v>2</v>
      </c>
      <c r="D52" s="104" t="str">
        <f t="shared" si="0"/>
        <v>奈良櫻井 崇之</v>
      </c>
      <c r="E52" s="104" t="str">
        <f t="shared" si="1"/>
        <v>愛知水田 賢宏</v>
      </c>
      <c r="F52" s="71" t="str">
        <f>VLOOKUP(IF('ブロック表'!$D$16=9,ゲームNo!$C39,IF('ブロック表'!$D$16=10,ゲームNo!$I39,IF('ブロック表'!$D$16=11,ゲームNo!$O39,ゲームNo!$U39))),'ブロック表'!$A$4:$C$15,3,FALSE)</f>
        <v>愛知</v>
      </c>
      <c r="G52" s="15" t="str">
        <f>VLOOKUP(IF('ブロック表'!$D$16=9,ゲームNo!$C39,IF('ブロック表'!$D$16=10,ゲームNo!$I39,IF('ブロック表'!$D$16=11,ゲームNo!$O39,ゲームNo!$U39))),'ブロック表'!$A$4:$N$15,7,FALSE)</f>
        <v>櫻井 崇之</v>
      </c>
      <c r="H52" s="82"/>
      <c r="I52" s="83">
        <v>55</v>
      </c>
      <c r="J52" s="84" t="s">
        <v>394</v>
      </c>
      <c r="K52" s="82"/>
      <c r="L52" s="21" t="str">
        <f>VLOOKUP(IF('ブロック表'!$D$16=9,ゲームNo!$D39,IF('ブロック表'!$D$16=10,ゲームNo!$J39,IF('ブロック表'!$D$16=11,ゲームNo!$P39,ゲームNo!$V39))),'ブロック表'!$A$4:$N$15,7,FALSE)</f>
        <v>水田 賢宏</v>
      </c>
      <c r="M52" s="72" t="str">
        <f>VLOOKUP(IF('ブロック表'!$D$16=9,ゲームNo!$D39,IF('ブロック表'!$D$16=10,ゲームNo!$J39,IF('ブロック表'!$D$16=11,ゲームNo!$P39,ゲームNo!$V39))),'ブロック表'!$A$4:$C$15,3,FALSE)</f>
        <v>奈良</v>
      </c>
    </row>
    <row r="53" spans="1:13" ht="13.5" customHeight="1">
      <c r="A53" s="98">
        <v>38</v>
      </c>
      <c r="B53" s="70">
        <v>8</v>
      </c>
      <c r="C53" s="132">
        <v>3</v>
      </c>
      <c r="D53" s="104" t="str">
        <f t="shared" si="0"/>
        <v>奈良野田 絢也</v>
      </c>
      <c r="E53" s="104" t="str">
        <f t="shared" si="1"/>
        <v>愛知長谷川 進</v>
      </c>
      <c r="F53" s="71" t="str">
        <f>VLOOKUP(IF('ブロック表'!$D$16=9,ゲームNo!$C40,IF('ブロック表'!$D$16=10,ゲームNo!$I40,IF('ブロック表'!$D$16=11,ゲームNo!$O40,ゲームNo!$U40))),'ブロック表'!$A$4:$C$15,3,FALSE)</f>
        <v>愛知</v>
      </c>
      <c r="G53" s="15" t="str">
        <f>VLOOKUP(IF('ブロック表'!$D$16=9,ゲームNo!$C40,IF('ブロック表'!$D$16=10,ゲームNo!$I40,IF('ブロック表'!$D$16=11,ゲームNo!$O40,ゲームNo!$U40))),'ブロック表'!$A$4:$N$15,9,FALSE)</f>
        <v>野田 絢也</v>
      </c>
      <c r="H53" s="82"/>
      <c r="I53" s="83" t="s">
        <v>394</v>
      </c>
      <c r="J53" s="84">
        <v>67</v>
      </c>
      <c r="K53" s="82"/>
      <c r="L53" s="21" t="str">
        <f>VLOOKUP(IF('ブロック表'!$D$16=9,ゲームNo!$D40,IF('ブロック表'!$D$16=10,ゲームNo!$J40,IF('ブロック表'!$D$16=11,ゲームNo!$P40,ゲームNo!$V40))),'ブロック表'!$A$4:$N$15,9,FALSE)</f>
        <v>長谷川 進</v>
      </c>
      <c r="M53" s="72" t="str">
        <f>VLOOKUP(IF('ブロック表'!$D$16=9,ゲームNo!$D40,IF('ブロック表'!$D$16=10,ゲームNo!$J40,IF('ブロック表'!$D$16=11,ゲームNo!$P40,ゲームNo!$V40))),'ブロック表'!$A$4:$C$15,3,FALSE)</f>
        <v>奈良</v>
      </c>
    </row>
    <row r="54" spans="1:13" ht="13.5" customHeight="1">
      <c r="A54" s="98">
        <v>39</v>
      </c>
      <c r="B54" s="70">
        <v>8</v>
      </c>
      <c r="C54" s="132">
        <v>4</v>
      </c>
      <c r="D54" s="104" t="str">
        <f t="shared" si="0"/>
        <v>奈良近藤 智靖</v>
      </c>
      <c r="E54" s="104" t="str">
        <f t="shared" si="1"/>
        <v>愛知植田 慎也</v>
      </c>
      <c r="F54" s="71" t="str">
        <f>VLOOKUP(IF('ブロック表'!$D$16=9,ゲームNo!$C41,IF('ブロック表'!$D$16=10,ゲームNo!$I41,IF('ブロック表'!$D$16=11,ゲームNo!$O41,ゲームNo!$U41))),'ブロック表'!$A$4:$C$15,3,FALSE)</f>
        <v>愛知</v>
      </c>
      <c r="G54" s="15" t="str">
        <f>VLOOKUP(IF('ブロック表'!$D$16=9,ゲームNo!$C41,IF('ブロック表'!$D$16=10,ゲームNo!$I41,IF('ブロック表'!$D$16=11,ゲームNo!$O41,ゲームNo!$U41))),'ブロック表'!$A$4:$N$15,11,FALSE)</f>
        <v>近藤 智靖</v>
      </c>
      <c r="H54" s="82">
        <v>102</v>
      </c>
      <c r="I54" s="83" t="s">
        <v>394</v>
      </c>
      <c r="J54" s="84">
        <v>107</v>
      </c>
      <c r="K54" s="82"/>
      <c r="L54" s="21" t="str">
        <f>VLOOKUP(IF('ブロック表'!$D$16=9,ゲームNo!$D41,IF('ブロック表'!$D$16=10,ゲームNo!$J41,IF('ブロック表'!$D$16=11,ゲームNo!$P41,ゲームNo!$V41))),'ブロック表'!$A$4:$N$15,11,FALSE)</f>
        <v>植田 慎也</v>
      </c>
      <c r="M54" s="72" t="str">
        <f>VLOOKUP(IF('ブロック表'!$D$16=9,ゲームNo!$D41,IF('ブロック表'!$D$16=10,ゲームNo!$J41,IF('ブロック表'!$D$16=11,ゲームNo!$P41,ゲームNo!$V41))),'ブロック表'!$A$4:$C$15,3,FALSE)</f>
        <v>奈良</v>
      </c>
    </row>
    <row r="55" spans="1:13" ht="14.25" customHeight="1">
      <c r="A55" s="99">
        <v>40</v>
      </c>
      <c r="B55" s="73">
        <v>8</v>
      </c>
      <c r="C55" s="133">
        <v>5</v>
      </c>
      <c r="D55" s="105" t="str">
        <f t="shared" si="0"/>
        <v>奈良島田 隆嗣</v>
      </c>
      <c r="E55" s="105" t="str">
        <f t="shared" si="1"/>
        <v>愛知山田 晃司</v>
      </c>
      <c r="F55" s="74" t="str">
        <f>VLOOKUP(IF('ブロック表'!$D$16=9,ゲームNo!$C42,IF('ブロック表'!$D$16=10,ゲームNo!$I42,IF('ブロック表'!$D$16=11,ゲームNo!$O42,ゲームNo!$U42))),'ブロック表'!$A$4:$C$15,3,FALSE)</f>
        <v>愛知</v>
      </c>
      <c r="G55" s="17" t="str">
        <f>VLOOKUP(IF('ブロック表'!$D$16=9,ゲームNo!$C42,IF('ブロック表'!$D$16=10,ゲームNo!$I42,IF('ブロック表'!$D$16=11,ゲームNo!$O42,ゲームNo!$U42))),'ブロック表'!$A$4:$N$15,13,FALSE)</f>
        <v>島田 隆嗣</v>
      </c>
      <c r="H55" s="85"/>
      <c r="I55" s="86">
        <v>26</v>
      </c>
      <c r="J55" s="87" t="s">
        <v>394</v>
      </c>
      <c r="K55" s="85"/>
      <c r="L55" s="22" t="str">
        <f>VLOOKUP(IF('ブロック表'!$D$16=9,ゲームNo!$D42,IF('ブロック表'!$D$16=10,ゲームNo!$J42,IF('ブロック表'!$D$16=11,ゲームNo!$P42,ゲームNo!$V42))),'ブロック表'!$A$4:$N$15,13,FALSE)</f>
        <v>山田 晃司</v>
      </c>
      <c r="M55" s="75" t="str">
        <f>VLOOKUP(IF('ブロック表'!$D$16=9,ゲームNo!$D42,IF('ブロック表'!$D$16=10,ゲームNo!$J42,IF('ブロック表'!$D$16=11,ゲームNo!$P42,ゲームNo!$V42))),'ブロック表'!$A$4:$C$15,3,FALSE)</f>
        <v>奈良</v>
      </c>
    </row>
    <row r="56" spans="1:13" ht="13.5" customHeight="1">
      <c r="A56" s="97">
        <v>41</v>
      </c>
      <c r="B56" s="92">
        <v>9</v>
      </c>
      <c r="C56" s="131">
        <v>1</v>
      </c>
      <c r="D56" s="106" t="str">
        <f t="shared" si="0"/>
        <v>三重由本 拓</v>
      </c>
      <c r="E56" s="106" t="str">
        <f t="shared" si="1"/>
        <v>大阪B水野 憲一</v>
      </c>
      <c r="F56" s="76" t="str">
        <f>VLOOKUP(IF('ブロック表'!$D$16=9,ゲームNo!$C43,IF('ブロック表'!$D$16=10,ゲームNo!$I43,IF('ブロック表'!$D$16=11,ゲームNo!$O43,ゲームNo!$U43))),'ブロック表'!$A$4:$C$15,3,FALSE)</f>
        <v>大阪B</v>
      </c>
      <c r="G56" s="19" t="str">
        <f>VLOOKUP(IF('ブロック表'!$D$16=9,ゲームNo!$C43,IF('ブロック表'!$D$16=10,ゲームNo!$I43,IF('ブロック表'!$D$16=11,ゲームNo!$O43,ゲームNo!$U43))),'ブロック表'!$A$4:$N$15,5,FALSE)</f>
        <v>由本 拓</v>
      </c>
      <c r="H56" s="88"/>
      <c r="I56" s="89">
        <v>18</v>
      </c>
      <c r="J56" s="90" t="s">
        <v>394</v>
      </c>
      <c r="K56" s="88"/>
      <c r="L56" s="20" t="str">
        <f>VLOOKUP(IF('ブロック表'!$D$16=9,ゲームNo!$D43,IF('ブロック表'!$D$16=10,ゲームNo!$J43,IF('ブロック表'!$D$16=11,ゲームNo!$P43,ゲームNo!$V43))),'ブロック表'!$A$4:$N$15,5,FALSE)</f>
        <v>水野 憲一</v>
      </c>
      <c r="M56" s="93" t="str">
        <f>VLOOKUP(IF('ブロック表'!$D$16=9,ゲームNo!$D43,IF('ブロック表'!$D$16=10,ゲームNo!$J43,IF('ブロック表'!$D$16=11,ゲームNo!$P43,ゲームNo!$V43))),'ブロック表'!$A$4:$C$15,3,FALSE)</f>
        <v>三重</v>
      </c>
    </row>
    <row r="57" spans="1:13" ht="13.5" customHeight="1">
      <c r="A57" s="98">
        <v>42</v>
      </c>
      <c r="B57" s="70">
        <v>9</v>
      </c>
      <c r="C57" s="132">
        <v>2</v>
      </c>
      <c r="D57" s="104" t="str">
        <f t="shared" si="0"/>
        <v>三重西田 恵子</v>
      </c>
      <c r="E57" s="104" t="str">
        <f t="shared" si="1"/>
        <v>大阪B市川 裕貴</v>
      </c>
      <c r="F57" s="71" t="str">
        <f>VLOOKUP(IF('ブロック表'!$D$16=9,ゲームNo!$C44,IF('ブロック表'!$D$16=10,ゲームNo!$I44,IF('ブロック表'!$D$16=11,ゲームNo!$O44,ゲームNo!$U44))),'ブロック表'!$A$4:$C$15,3,FALSE)</f>
        <v>大阪B</v>
      </c>
      <c r="G57" s="15" t="str">
        <f>VLOOKUP(IF('ブロック表'!$D$16=9,ゲームNo!$C44,IF('ブロック表'!$D$16=10,ゲームNo!$I44,IF('ブロック表'!$D$16=11,ゲームNo!$O44,ゲームNo!$U44))),'ブロック表'!$A$4:$N$15,7,FALSE)</f>
        <v>西田 恵子</v>
      </c>
      <c r="H57" s="82"/>
      <c r="I57" s="83">
        <v>56</v>
      </c>
      <c r="J57" s="84" t="s">
        <v>395</v>
      </c>
      <c r="K57" s="82"/>
      <c r="L57" s="21" t="str">
        <f>VLOOKUP(IF('ブロック表'!$D$16=9,ゲームNo!$D44,IF('ブロック表'!$D$16=10,ゲームNo!$J44,IF('ブロック表'!$D$16=11,ゲームNo!$P44,ゲームNo!$V44))),'ブロック表'!$A$4:$N$15,7,FALSE)</f>
        <v>市川 裕貴</v>
      </c>
      <c r="M57" s="72" t="str">
        <f>VLOOKUP(IF('ブロック表'!$D$16=9,ゲームNo!$D44,IF('ブロック表'!$D$16=10,ゲームNo!$J44,IF('ブロック表'!$D$16=11,ゲームNo!$P44,ゲームNo!$V44))),'ブロック表'!$A$4:$C$15,3,FALSE)</f>
        <v>三重</v>
      </c>
    </row>
    <row r="58" spans="1:13" ht="13.5" customHeight="1">
      <c r="A58" s="98">
        <v>43</v>
      </c>
      <c r="B58" s="70">
        <v>9</v>
      </c>
      <c r="C58" s="132">
        <v>3</v>
      </c>
      <c r="D58" s="104" t="str">
        <f t="shared" si="0"/>
        <v>三重野村 宗司</v>
      </c>
      <c r="E58" s="104" t="str">
        <f t="shared" si="1"/>
        <v>大阪B黒宮 健二</v>
      </c>
      <c r="F58" s="71" t="str">
        <f>VLOOKUP(IF('ブロック表'!$D$16=9,ゲームNo!$C45,IF('ブロック表'!$D$16=10,ゲームNo!$I45,IF('ブロック表'!$D$16=11,ゲームNo!$O45,ゲームNo!$U45))),'ブロック表'!$A$4:$C$15,3,FALSE)</f>
        <v>大阪B</v>
      </c>
      <c r="G58" s="15" t="str">
        <f>VLOOKUP(IF('ブロック表'!$D$16=9,ゲームNo!$C45,IF('ブロック表'!$D$16=10,ゲームNo!$I45,IF('ブロック表'!$D$16=11,ゲームNo!$O45,ゲームNo!$U45))),'ブロック表'!$A$4:$N$15,9,FALSE)</f>
        <v>野村 宗司</v>
      </c>
      <c r="H58" s="82"/>
      <c r="I58" s="83" t="s">
        <v>394</v>
      </c>
      <c r="J58" s="84">
        <v>26</v>
      </c>
      <c r="K58" s="82"/>
      <c r="L58" s="21" t="str">
        <f>VLOOKUP(IF('ブロック表'!$D$16=9,ゲームNo!$D45,IF('ブロック表'!$D$16=10,ゲームNo!$J45,IF('ブロック表'!$D$16=11,ゲームNo!$P45,ゲームNo!$V45))),'ブロック表'!$A$4:$N$15,9,FALSE)</f>
        <v>黒宮 健二</v>
      </c>
      <c r="M58" s="72" t="str">
        <f>VLOOKUP(IF('ブロック表'!$D$16=9,ゲームNo!$D45,IF('ブロック表'!$D$16=10,ゲームNo!$J45,IF('ブロック表'!$D$16=11,ゲームNo!$P45,ゲームNo!$V45))),'ブロック表'!$A$4:$C$15,3,FALSE)</f>
        <v>三重</v>
      </c>
    </row>
    <row r="59" spans="1:13" ht="13.5" customHeight="1">
      <c r="A59" s="98">
        <v>44</v>
      </c>
      <c r="B59" s="70">
        <v>9</v>
      </c>
      <c r="C59" s="132">
        <v>4</v>
      </c>
      <c r="D59" s="104" t="str">
        <f t="shared" si="0"/>
        <v>三重山崎 真紀子</v>
      </c>
      <c r="E59" s="104" t="str">
        <f t="shared" si="1"/>
        <v>大阪B杉本 諭</v>
      </c>
      <c r="F59" s="71" t="str">
        <f>VLOOKUP(IF('ブロック表'!$D$16=9,ゲームNo!$C46,IF('ブロック表'!$D$16=10,ゲームNo!$I46,IF('ブロック表'!$D$16=11,ゲームNo!$O46,ゲームNo!$U46))),'ブロック表'!$A$4:$C$15,3,FALSE)</f>
        <v>大阪B</v>
      </c>
      <c r="G59" s="15" t="str">
        <f>VLOOKUP(IF('ブロック表'!$D$16=9,ゲームNo!$C46,IF('ブロック表'!$D$16=10,ゲームNo!$I46,IF('ブロック表'!$D$16=11,ゲームNo!$O46,ゲームNo!$U46))),'ブロック表'!$A$4:$N$15,11,FALSE)</f>
        <v>山崎 真紀子</v>
      </c>
      <c r="H59" s="82"/>
      <c r="I59" s="83" t="s">
        <v>394</v>
      </c>
      <c r="J59" s="84">
        <v>90</v>
      </c>
      <c r="K59" s="82"/>
      <c r="L59" s="21" t="str">
        <f>VLOOKUP(IF('ブロック表'!$D$16=9,ゲームNo!$D46,IF('ブロック表'!$D$16=10,ゲームNo!$J46,IF('ブロック表'!$D$16=11,ゲームNo!$P46,ゲームNo!$V46))),'ブロック表'!$A$4:$N$15,11,FALSE)</f>
        <v>杉本 諭</v>
      </c>
      <c r="M59" s="72" t="str">
        <f>VLOOKUP(IF('ブロック表'!$D$16=9,ゲームNo!$D46,IF('ブロック表'!$D$16=10,ゲームNo!$J46,IF('ブロック表'!$D$16=11,ゲームNo!$P46,ゲームNo!$V46))),'ブロック表'!$A$4:$C$15,3,FALSE)</f>
        <v>三重</v>
      </c>
    </row>
    <row r="60" spans="1:13" ht="14.25" customHeight="1">
      <c r="A60" s="99">
        <v>45</v>
      </c>
      <c r="B60" s="73">
        <v>9</v>
      </c>
      <c r="C60" s="133">
        <v>5</v>
      </c>
      <c r="D60" s="105" t="str">
        <f t="shared" si="0"/>
        <v>三重小森 雅昭</v>
      </c>
      <c r="E60" s="105" t="str">
        <f t="shared" si="1"/>
        <v>大阪B森本 英幸</v>
      </c>
      <c r="F60" s="74" t="str">
        <f>VLOOKUP(IF('ブロック表'!$D$16=9,ゲームNo!$C47,IF('ブロック表'!$D$16=10,ゲームNo!$I47,IF('ブロック表'!$D$16=11,ゲームNo!$O47,ゲームNo!$U47))),'ブロック表'!$A$4:$C$15,3,FALSE)</f>
        <v>大阪B</v>
      </c>
      <c r="G60" s="17" t="str">
        <f>VLOOKUP(IF('ブロック表'!$D$16=9,ゲームNo!$C47,IF('ブロック表'!$D$16=10,ゲームNo!$I47,IF('ブロック表'!$D$16=11,ゲームNo!$O47,ゲームNo!$U47))),'ブロック表'!$A$4:$N$15,13,FALSE)</f>
        <v>小森 雅昭</v>
      </c>
      <c r="H60" s="85"/>
      <c r="I60" s="86">
        <v>34</v>
      </c>
      <c r="J60" s="87" t="s">
        <v>394</v>
      </c>
      <c r="K60" s="85"/>
      <c r="L60" s="22" t="str">
        <f>VLOOKUP(IF('ブロック表'!$D$16=9,ゲームNo!$D47,IF('ブロック表'!$D$16=10,ゲームNo!$J47,IF('ブロック表'!$D$16=11,ゲームNo!$P47,ゲームNo!$V47))),'ブロック表'!$A$4:$N$15,13,FALSE)</f>
        <v>森本 英幸</v>
      </c>
      <c r="M60" s="75" t="str">
        <f>VLOOKUP(IF('ブロック表'!$D$16=9,ゲームNo!$D47,IF('ブロック表'!$D$16=10,ゲームNo!$J47,IF('ブロック表'!$D$16=11,ゲームNo!$P47,ゲームNo!$V47))),'ブロック表'!$A$4:$C$15,3,FALSE)</f>
        <v>三重</v>
      </c>
    </row>
    <row r="61" spans="1:13" ht="13.5" customHeight="1">
      <c r="A61" s="97">
        <v>46</v>
      </c>
      <c r="B61" s="92">
        <v>10</v>
      </c>
      <c r="C61" s="131">
        <v>1</v>
      </c>
      <c r="D61" s="106" t="str">
        <f t="shared" si="0"/>
        <v>岐阜高木 俊行</v>
      </c>
      <c r="E61" s="106" t="str">
        <f t="shared" si="1"/>
        <v>兵庫木村 隼人</v>
      </c>
      <c r="F61" s="76" t="str">
        <f>VLOOKUP(IF('ブロック表'!$D$16=9,ゲームNo!$C48,IF('ブロック表'!$D$16=10,ゲームNo!$I48,IF('ブロック表'!$D$16=11,ゲームNo!$O48,ゲームNo!$U48))),'ブロック表'!$A$4:$C$15,3,FALSE)</f>
        <v>兵庫</v>
      </c>
      <c r="G61" s="19" t="str">
        <f>VLOOKUP(IF('ブロック表'!$D$16=9,ゲームNo!$C48,IF('ブロック表'!$D$16=10,ゲームNo!$I48,IF('ブロック表'!$D$16=11,ゲームNo!$O48,ゲームNo!$U48))),'ブロック表'!$A$4:$N$15,5,FALSE)</f>
        <v>高木 俊行</v>
      </c>
      <c r="H61" s="88"/>
      <c r="I61" s="89">
        <v>36</v>
      </c>
      <c r="J61" s="90" t="s">
        <v>394</v>
      </c>
      <c r="K61" s="88"/>
      <c r="L61" s="20" t="str">
        <f>VLOOKUP(IF('ブロック表'!$D$16=9,ゲームNo!$D48,IF('ブロック表'!$D$16=10,ゲームNo!$J48,IF('ブロック表'!$D$16=11,ゲームNo!$P48,ゲームNo!$V48))),'ブロック表'!$A$4:$N$15,5,FALSE)</f>
        <v>木村 隼人</v>
      </c>
      <c r="M61" s="93" t="str">
        <f>VLOOKUP(IF('ブロック表'!$D$16=9,ゲームNo!$D48,IF('ブロック表'!$D$16=10,ゲームNo!$J48,IF('ブロック表'!$D$16=11,ゲームNo!$P48,ゲームNo!$V48))),'ブロック表'!$A$4:$C$15,3,FALSE)</f>
        <v>岐阜</v>
      </c>
    </row>
    <row r="62" spans="1:13" ht="13.5" customHeight="1">
      <c r="A62" s="98">
        <v>47</v>
      </c>
      <c r="B62" s="70">
        <v>10</v>
      </c>
      <c r="C62" s="132">
        <v>2</v>
      </c>
      <c r="D62" s="104" t="str">
        <f t="shared" si="0"/>
        <v>岐阜堂園 雅也</v>
      </c>
      <c r="E62" s="104" t="str">
        <f t="shared" si="1"/>
        <v>兵庫辻 和美</v>
      </c>
      <c r="F62" s="71" t="str">
        <f>VLOOKUP(IF('ブロック表'!$D$16=9,ゲームNo!$C49,IF('ブロック表'!$D$16=10,ゲームNo!$I49,IF('ブロック表'!$D$16=11,ゲームNo!$O49,ゲームNo!$U49))),'ブロック表'!$A$4:$C$15,3,FALSE)</f>
        <v>兵庫</v>
      </c>
      <c r="G62" s="15" t="str">
        <f>VLOOKUP(IF('ブロック表'!$D$16=9,ゲームNo!$C49,IF('ブロック表'!$D$16=10,ゲームNo!$I49,IF('ブロック表'!$D$16=11,ゲームNo!$O49,ゲームNo!$U49))),'ブロック表'!$A$4:$N$15,7,FALSE)</f>
        <v>堂園 雅也</v>
      </c>
      <c r="H62" s="82"/>
      <c r="I62" s="83" t="s">
        <v>394</v>
      </c>
      <c r="J62" s="84">
        <v>28</v>
      </c>
      <c r="K62" s="82"/>
      <c r="L62" s="21" t="str">
        <f>VLOOKUP(IF('ブロック表'!$D$16=9,ゲームNo!$D49,IF('ブロック表'!$D$16=10,ゲームNo!$J49,IF('ブロック表'!$D$16=11,ゲームNo!$P49,ゲームNo!$V49))),'ブロック表'!$A$4:$N$15,7,FALSE)</f>
        <v>辻 和美</v>
      </c>
      <c r="M62" s="72" t="str">
        <f>VLOOKUP(IF('ブロック表'!$D$16=9,ゲームNo!$D49,IF('ブロック表'!$D$16=10,ゲームNo!$J49,IF('ブロック表'!$D$16=11,ゲームNo!$P49,ゲームNo!$V49))),'ブロック表'!$A$4:$C$15,3,FALSE)</f>
        <v>岐阜</v>
      </c>
    </row>
    <row r="63" spans="1:13" ht="13.5" customHeight="1">
      <c r="A63" s="98">
        <v>48</v>
      </c>
      <c r="B63" s="70">
        <v>10</v>
      </c>
      <c r="C63" s="132">
        <v>3</v>
      </c>
      <c r="D63" s="104" t="str">
        <f t="shared" si="0"/>
        <v>岐阜森 映智</v>
      </c>
      <c r="E63" s="104" t="str">
        <f t="shared" si="1"/>
        <v>兵庫徳永 修児</v>
      </c>
      <c r="F63" s="71" t="str">
        <f>VLOOKUP(IF('ブロック表'!$D$16=9,ゲームNo!$C50,IF('ブロック表'!$D$16=10,ゲームNo!$I50,IF('ブロック表'!$D$16=11,ゲームNo!$O50,ゲームNo!$U50))),'ブロック表'!$A$4:$C$15,3,FALSE)</f>
        <v>兵庫</v>
      </c>
      <c r="G63" s="15" t="str">
        <f>VLOOKUP(IF('ブロック表'!$D$16=9,ゲームNo!$C50,IF('ブロック表'!$D$16=10,ゲームNo!$I50,IF('ブロック表'!$D$16=11,ゲームNo!$O50,ゲームNo!$U50))),'ブロック表'!$A$4:$N$15,9,FALSE)</f>
        <v>森 映智</v>
      </c>
      <c r="H63" s="82"/>
      <c r="I63" s="83" t="s">
        <v>394</v>
      </c>
      <c r="J63" s="84">
        <v>111</v>
      </c>
      <c r="K63" s="82"/>
      <c r="L63" s="21" t="str">
        <f>VLOOKUP(IF('ブロック表'!$D$16=9,ゲームNo!$D50,IF('ブロック表'!$D$16=10,ゲームNo!$J50,IF('ブロック表'!$D$16=11,ゲームNo!$P50,ゲームNo!$V50))),'ブロック表'!$A$4:$N$15,9,FALSE)</f>
        <v>徳永 修児</v>
      </c>
      <c r="M63" s="72" t="str">
        <f>VLOOKUP(IF('ブロック表'!$D$16=9,ゲームNo!$D50,IF('ブロック表'!$D$16=10,ゲームNo!$J50,IF('ブロック表'!$D$16=11,ゲームNo!$P50,ゲームNo!$V50))),'ブロック表'!$A$4:$C$15,3,FALSE)</f>
        <v>岐阜</v>
      </c>
    </row>
    <row r="64" spans="1:13" ht="13.5" customHeight="1">
      <c r="A64" s="98">
        <v>49</v>
      </c>
      <c r="B64" s="70">
        <v>10</v>
      </c>
      <c r="C64" s="132">
        <v>4</v>
      </c>
      <c r="D64" s="104" t="str">
        <f t="shared" si="0"/>
        <v>岐阜白澤 雄一郎</v>
      </c>
      <c r="E64" s="104" t="str">
        <f t="shared" si="1"/>
        <v>兵庫高橋 浩之</v>
      </c>
      <c r="F64" s="71" t="str">
        <f>VLOOKUP(IF('ブロック表'!$D$16=9,ゲームNo!$C51,IF('ブロック表'!$D$16=10,ゲームNo!$I51,IF('ブロック表'!$D$16=11,ゲームNo!$O51,ゲームNo!$U51))),'ブロック表'!$A$4:$C$15,3,FALSE)</f>
        <v>兵庫</v>
      </c>
      <c r="G64" s="15" t="str">
        <f>VLOOKUP(IF('ブロック表'!$D$16=9,ゲームNo!$C51,IF('ブロック表'!$D$16=10,ゲームNo!$I51,IF('ブロック表'!$D$16=11,ゲームNo!$O51,ゲームNo!$U51))),'ブロック表'!$A$4:$N$15,11,FALSE)</f>
        <v>白澤 雄一郎</v>
      </c>
      <c r="H64" s="82"/>
      <c r="I64" s="83" t="s">
        <v>394</v>
      </c>
      <c r="J64" s="84">
        <v>92</v>
      </c>
      <c r="K64" s="82"/>
      <c r="L64" s="21" t="str">
        <f>VLOOKUP(IF('ブロック表'!$D$16=9,ゲームNo!$D51,IF('ブロック表'!$D$16=10,ゲームNo!$J51,IF('ブロック表'!$D$16=11,ゲームNo!$P51,ゲームNo!$V51))),'ブロック表'!$A$4:$N$15,11,FALSE)</f>
        <v>高橋 浩之</v>
      </c>
      <c r="M64" s="72" t="str">
        <f>VLOOKUP(IF('ブロック表'!$D$16=9,ゲームNo!$D51,IF('ブロック表'!$D$16=10,ゲームNo!$J51,IF('ブロック表'!$D$16=11,ゲームNo!$P51,ゲームNo!$V51))),'ブロック表'!$A$4:$C$15,3,FALSE)</f>
        <v>岐阜</v>
      </c>
    </row>
    <row r="65" spans="1:13" ht="14.25" customHeight="1">
      <c r="A65" s="99">
        <v>50</v>
      </c>
      <c r="B65" s="73">
        <v>10</v>
      </c>
      <c r="C65" s="133">
        <v>5</v>
      </c>
      <c r="D65" s="105" t="str">
        <f t="shared" si="0"/>
        <v>岐阜平井 洸志</v>
      </c>
      <c r="E65" s="105" t="str">
        <f t="shared" si="1"/>
        <v>兵庫野原 朋和</v>
      </c>
      <c r="F65" s="74" t="str">
        <f>VLOOKUP(IF('ブロック表'!$D$16=9,ゲームNo!$C52,IF('ブロック表'!$D$16=10,ゲームNo!$I52,IF('ブロック表'!$D$16=11,ゲームNo!$O52,ゲームNo!$U52))),'ブロック表'!$A$4:$C$15,3,FALSE)</f>
        <v>兵庫</v>
      </c>
      <c r="G65" s="17" t="str">
        <f>VLOOKUP(IF('ブロック表'!$D$16=9,ゲームNo!$C52,IF('ブロック表'!$D$16=10,ゲームNo!$I52,IF('ブロック表'!$D$16=11,ゲームNo!$O52,ゲームNo!$U52))),'ブロック表'!$A$4:$N$15,13,FALSE)</f>
        <v>平井 洸志</v>
      </c>
      <c r="H65" s="85"/>
      <c r="I65" s="86" t="s">
        <v>394</v>
      </c>
      <c r="J65" s="87">
        <v>102</v>
      </c>
      <c r="K65" s="85"/>
      <c r="L65" s="22" t="str">
        <f>VLOOKUP(IF('ブロック表'!$D$16=9,ゲームNo!$D52,IF('ブロック表'!$D$16=10,ゲームNo!$J52,IF('ブロック表'!$D$16=11,ゲームNo!$P52,ゲームNo!$V52))),'ブロック表'!$A$4:$N$15,13,FALSE)</f>
        <v>野原 朋和</v>
      </c>
      <c r="M65" s="75" t="str">
        <f>VLOOKUP(IF('ブロック表'!$D$16=9,ゲームNo!$D52,IF('ブロック表'!$D$16=10,ゲームNo!$J52,IF('ブロック表'!$D$16=11,ゲームNo!$P52,ゲームNo!$V52))),'ブロック表'!$A$4:$C$15,3,FALSE)</f>
        <v>岐阜</v>
      </c>
    </row>
    <row r="66" spans="1:13" ht="13.5" customHeight="1">
      <c r="A66" s="97">
        <v>51</v>
      </c>
      <c r="B66" s="92">
        <v>11</v>
      </c>
      <c r="C66" s="131">
        <v>1</v>
      </c>
      <c r="D66" s="106" t="str">
        <f t="shared" si="0"/>
        <v>大阪A今村 哲也</v>
      </c>
      <c r="E66" s="106" t="str">
        <f t="shared" si="1"/>
        <v>京都村上 泰辰</v>
      </c>
      <c r="F66" s="76" t="str">
        <f>VLOOKUP(IF('ブロック表'!$D$16=9,ゲームNo!$C53,IF('ブロック表'!$D$16=10,ゲームNo!$I53,IF('ブロック表'!$D$16=11,ゲームNo!$O53,ゲームNo!$U53))),'ブロック表'!$A$4:$C$15,3,FALSE)</f>
        <v>京都</v>
      </c>
      <c r="G66" s="19" t="str">
        <f>VLOOKUP(IF('ブロック表'!$D$16=9,ゲームNo!$C53,IF('ブロック表'!$D$16=10,ゲームNo!$I53,IF('ブロック表'!$D$16=11,ゲームNo!$O53,ゲームNo!$U53))),'ブロック表'!$A$4:$N$15,5,FALSE)</f>
        <v>今村 哲也</v>
      </c>
      <c r="H66" s="88"/>
      <c r="I66" s="89">
        <v>0</v>
      </c>
      <c r="J66" s="90" t="s">
        <v>394</v>
      </c>
      <c r="K66" s="88" t="s">
        <v>397</v>
      </c>
      <c r="L66" s="20" t="str">
        <f>VLOOKUP(IF('ブロック表'!$D$16=9,ゲームNo!$D53,IF('ブロック表'!$D$16=10,ゲームNo!$J53,IF('ブロック表'!$D$16=11,ゲームNo!$P53,ゲームNo!$V53))),'ブロック表'!$A$4:$N$15,5,FALSE)</f>
        <v>村上 泰辰</v>
      </c>
      <c r="M66" s="93" t="str">
        <f>VLOOKUP(IF('ブロック表'!$D$16=9,ゲームNo!$D53,IF('ブロック表'!$D$16=10,ゲームNo!$J53,IF('ブロック表'!$D$16=11,ゲームNo!$P53,ゲームNo!$V53))),'ブロック表'!$A$4:$C$15,3,FALSE)</f>
        <v>大阪A</v>
      </c>
    </row>
    <row r="67" spans="1:13" ht="13.5" customHeight="1">
      <c r="A67" s="98">
        <v>52</v>
      </c>
      <c r="B67" s="70">
        <v>11</v>
      </c>
      <c r="C67" s="132">
        <v>2</v>
      </c>
      <c r="D67" s="104" t="str">
        <f t="shared" si="0"/>
        <v>大阪A田附 裕次</v>
      </c>
      <c r="E67" s="104" t="str">
        <f t="shared" si="1"/>
        <v>京都山岡 修二</v>
      </c>
      <c r="F67" s="71" t="str">
        <f>VLOOKUP(IF('ブロック表'!$D$16=9,ゲームNo!$C54,IF('ブロック表'!$D$16=10,ゲームNo!$I54,IF('ブロック表'!$D$16=11,ゲームNo!$O54,ゲームNo!$U54))),'ブロック表'!$A$4:$C$15,3,FALSE)</f>
        <v>京都</v>
      </c>
      <c r="G67" s="15" t="str">
        <f>VLOOKUP(IF('ブロック表'!$D$16=9,ゲームNo!$C54,IF('ブロック表'!$D$16=10,ゲームNo!$I54,IF('ブロック表'!$D$16=11,ゲームNo!$O54,ゲームNo!$U54))),'ブロック表'!$A$4:$N$15,7,FALSE)</f>
        <v>田附 裕次</v>
      </c>
      <c r="H67" s="82"/>
      <c r="I67" s="83" t="s">
        <v>394</v>
      </c>
      <c r="J67" s="84">
        <v>55</v>
      </c>
      <c r="K67" s="82"/>
      <c r="L67" s="21" t="str">
        <f>VLOOKUP(IF('ブロック表'!$D$16=9,ゲームNo!$D54,IF('ブロック表'!$D$16=10,ゲームNo!$J54,IF('ブロック表'!$D$16=11,ゲームNo!$P54,ゲームNo!$V54))),'ブロック表'!$A$4:$N$15,7,FALSE)</f>
        <v>山岡 修二</v>
      </c>
      <c r="M67" s="72" t="str">
        <f>VLOOKUP(IF('ブロック表'!$D$16=9,ゲームNo!$D54,IF('ブロック表'!$D$16=10,ゲームNo!$J54,IF('ブロック表'!$D$16=11,ゲームNo!$P54,ゲームNo!$V54))),'ブロック表'!$A$4:$C$15,3,FALSE)</f>
        <v>大阪A</v>
      </c>
    </row>
    <row r="68" spans="1:13" ht="13.5" customHeight="1">
      <c r="A68" s="98">
        <v>53</v>
      </c>
      <c r="B68" s="70">
        <v>11</v>
      </c>
      <c r="C68" s="132">
        <v>3</v>
      </c>
      <c r="D68" s="104" t="str">
        <f t="shared" si="0"/>
        <v>大阪A佐藤 雄吾</v>
      </c>
      <c r="E68" s="104" t="str">
        <f t="shared" si="1"/>
        <v>京都吉岡 保俊</v>
      </c>
      <c r="F68" s="71" t="str">
        <f>VLOOKUP(IF('ブロック表'!$D$16=9,ゲームNo!$C55,IF('ブロック表'!$D$16=10,ゲームNo!$I55,IF('ブロック表'!$D$16=11,ゲームNo!$O55,ゲームNo!$U55))),'ブロック表'!$A$4:$C$15,3,FALSE)</f>
        <v>京都</v>
      </c>
      <c r="G68" s="15" t="str">
        <f>VLOOKUP(IF('ブロック表'!$D$16=9,ゲームNo!$C55,IF('ブロック表'!$D$16=10,ゲームNo!$I55,IF('ブロック表'!$D$16=11,ゲームNo!$O55,ゲームNo!$U55))),'ブロック表'!$A$4:$N$15,9,FALSE)</f>
        <v>佐藤 雄吾</v>
      </c>
      <c r="H68" s="82"/>
      <c r="I68" s="83" t="s">
        <v>394</v>
      </c>
      <c r="J68" s="84">
        <v>95</v>
      </c>
      <c r="K68" s="82"/>
      <c r="L68" s="21" t="str">
        <f>VLOOKUP(IF('ブロック表'!$D$16=9,ゲームNo!$D55,IF('ブロック表'!$D$16=10,ゲームNo!$J55,IF('ブロック表'!$D$16=11,ゲームNo!$P55,ゲームNo!$V55))),'ブロック表'!$A$4:$N$15,9,FALSE)</f>
        <v>吉岡 保俊</v>
      </c>
      <c r="M68" s="72" t="str">
        <f>VLOOKUP(IF('ブロック表'!$D$16=9,ゲームNo!$D55,IF('ブロック表'!$D$16=10,ゲームNo!$J55,IF('ブロック表'!$D$16=11,ゲームNo!$P55,ゲームNo!$V55))),'ブロック表'!$A$4:$C$15,3,FALSE)</f>
        <v>大阪A</v>
      </c>
    </row>
    <row r="69" spans="1:13" ht="13.5" customHeight="1">
      <c r="A69" s="98">
        <v>54</v>
      </c>
      <c r="B69" s="70">
        <v>11</v>
      </c>
      <c r="C69" s="132">
        <v>4</v>
      </c>
      <c r="D69" s="104" t="str">
        <f t="shared" si="0"/>
        <v>大阪A加藤 秀万</v>
      </c>
      <c r="E69" s="104" t="str">
        <f t="shared" si="1"/>
        <v>京都乾 伸綱</v>
      </c>
      <c r="F69" s="71" t="str">
        <f>VLOOKUP(IF('ブロック表'!$D$16=9,ゲームNo!$C56,IF('ブロック表'!$D$16=10,ゲームNo!$I56,IF('ブロック表'!$D$16=11,ゲームNo!$O56,ゲームNo!$U56))),'ブロック表'!$A$4:$C$15,3,FALSE)</f>
        <v>京都</v>
      </c>
      <c r="G69" s="15" t="str">
        <f>VLOOKUP(IF('ブロック表'!$D$16=9,ゲームNo!$C56,IF('ブロック表'!$D$16=10,ゲームNo!$I56,IF('ブロック表'!$D$16=11,ゲームNo!$O56,ゲームNo!$U56))),'ブロック表'!$A$4:$N$15,11,FALSE)</f>
        <v>加藤 秀万</v>
      </c>
      <c r="H69" s="82"/>
      <c r="I69" s="83">
        <v>61</v>
      </c>
      <c r="J69" s="84" t="s">
        <v>394</v>
      </c>
      <c r="K69" s="82"/>
      <c r="L69" s="21" t="str">
        <f>VLOOKUP(IF('ブロック表'!$D$16=9,ゲームNo!$D56,IF('ブロック表'!$D$16=10,ゲームNo!$J56,IF('ブロック表'!$D$16=11,ゲームNo!$P56,ゲームNo!$V56))),'ブロック表'!$A$4:$N$15,11,FALSE)</f>
        <v>乾 伸綱</v>
      </c>
      <c r="M69" s="72" t="str">
        <f>VLOOKUP(IF('ブロック表'!$D$16=9,ゲームNo!$D56,IF('ブロック表'!$D$16=10,ゲームNo!$J56,IF('ブロック表'!$D$16=11,ゲームNo!$P56,ゲームNo!$V56))),'ブロック表'!$A$4:$C$15,3,FALSE)</f>
        <v>大阪A</v>
      </c>
    </row>
    <row r="70" spans="1:13" ht="14.25" customHeight="1">
      <c r="A70" s="232">
        <v>55</v>
      </c>
      <c r="B70" s="233">
        <v>11</v>
      </c>
      <c r="C70" s="234">
        <v>5</v>
      </c>
      <c r="D70" s="235" t="str">
        <f t="shared" si="0"/>
        <v>大阪A山下 直生</v>
      </c>
      <c r="E70" s="235" t="str">
        <f t="shared" si="1"/>
        <v>京都山田 玄英</v>
      </c>
      <c r="F70" s="236" t="str">
        <f>VLOOKUP(IF('ブロック表'!$D$16=9,ゲームNo!$C57,IF('ブロック表'!$D$16=10,ゲームNo!$I57,IF('ブロック表'!$D$16=11,ゲームNo!$O57,ゲームNo!$U57))),'ブロック表'!$A$4:$C$15,3,FALSE)</f>
        <v>京都</v>
      </c>
      <c r="G70" s="237" t="str">
        <f>VLOOKUP(IF('ブロック表'!$D$16=9,ゲームNo!$C57,IF('ブロック表'!$D$16=10,ゲームNo!$I57,IF('ブロック表'!$D$16=11,ゲームNo!$O57,ゲームNo!$U57))),'ブロック表'!$A$4:$N$15,13,FALSE)</f>
        <v>山下 直生</v>
      </c>
      <c r="H70" s="238"/>
      <c r="I70" s="239" t="s">
        <v>394</v>
      </c>
      <c r="J70" s="377">
        <v>86</v>
      </c>
      <c r="K70" s="238"/>
      <c r="L70" s="240" t="str">
        <f>VLOOKUP(IF('ブロック表'!$D$16=9,ゲームNo!$D57,IF('ブロック表'!$D$16=10,ゲームNo!$J57,IF('ブロック表'!$D$16=11,ゲームNo!$P57,ゲームNo!$V57))),'ブロック表'!$A$4:$N$15,13,FALSE)</f>
        <v>山田 玄英</v>
      </c>
      <c r="M70" s="241" t="str">
        <f>VLOOKUP(IF('ブロック表'!$D$16=9,ゲームNo!$D57,IF('ブロック表'!$D$16=10,ゲームNo!$J57,IF('ブロック表'!$D$16=11,ゲームNo!$P57,ゲームNo!$V57))),'ブロック表'!$A$4:$C$15,3,FALSE)</f>
        <v>大阪A</v>
      </c>
    </row>
    <row r="71" spans="1:13" ht="14.25" customHeight="1">
      <c r="A71" s="223">
        <v>56</v>
      </c>
      <c r="B71" s="70">
        <v>12</v>
      </c>
      <c r="C71" s="224">
        <v>1</v>
      </c>
      <c r="D71" s="104" t="str">
        <f t="shared" si="0"/>
        <v>和歌山小川 晃</v>
      </c>
      <c r="E71" s="104" t="str">
        <f t="shared" si="1"/>
        <v>愛知岸上 賢一</v>
      </c>
      <c r="F71" s="225" t="str">
        <f>VLOOKUP(IF('ブロック表'!$D$16=9,ゲームNo!$C58,IF('ブロック表'!$D$16=10,ゲームNo!$I58,IF('ブロック表'!$D$16=11,ゲームNo!$O58,ゲームNo!$U58))),'ブロック表'!$A$4:$C$15,3,FALSE)</f>
        <v>愛知</v>
      </c>
      <c r="G71" s="226" t="str">
        <f>VLOOKUP(IF('ブロック表'!$D$16=9,ゲームNo!$C58,IF('ブロック表'!$D$16=10,ゲームNo!$I58,IF('ブロック表'!$D$16=11,ゲームNo!$O58,ゲームNo!$U58))),'ブロック表'!$A$4:$N$15,5,FALSE)</f>
        <v>小川 晃</v>
      </c>
      <c r="H71" s="227"/>
      <c r="I71" s="228" t="s">
        <v>394</v>
      </c>
      <c r="J71" s="229">
        <v>89</v>
      </c>
      <c r="K71" s="227"/>
      <c r="L71" s="230" t="str">
        <f>VLOOKUP(IF('ブロック表'!$D$16=9,ゲームNo!$D58,IF('ブロック表'!$D$16=10,ゲームNo!$J58,IF('ブロック表'!$D$16=11,ゲームNo!$P58,ゲームNo!$V58))),'ブロック表'!$A$4:$N$15,5,FALSE)</f>
        <v>岸上 賢一</v>
      </c>
      <c r="M71" s="231" t="str">
        <f>VLOOKUP(IF('ブロック表'!$D$16=9,ゲームNo!$D58,IF('ブロック表'!$D$16=10,ゲームNo!$J58,IF('ブロック表'!$D$16=11,ゲームNo!$P58,ゲームNo!$V58))),'ブロック表'!$A$4:$C$15,3,FALSE)</f>
        <v>和歌山</v>
      </c>
    </row>
    <row r="72" spans="1:13" ht="13.5" customHeight="1">
      <c r="A72" s="98">
        <v>57</v>
      </c>
      <c r="B72" s="70">
        <v>12</v>
      </c>
      <c r="C72" s="132">
        <v>2</v>
      </c>
      <c r="D72" s="104" t="str">
        <f t="shared" si="0"/>
        <v>和歌山櫻井 崇之</v>
      </c>
      <c r="E72" s="104" t="str">
        <f t="shared" si="1"/>
        <v>愛知末岡 修</v>
      </c>
      <c r="F72" s="71" t="str">
        <f>VLOOKUP(IF('ブロック表'!$D$16=9,ゲームNo!$C59,IF('ブロック表'!$D$16=10,ゲームNo!$I59,IF('ブロック表'!$D$16=11,ゲームNo!$O59,ゲームNo!$U59))),'ブロック表'!$A$4:$C$15,3,FALSE)</f>
        <v>愛知</v>
      </c>
      <c r="G72" s="15" t="str">
        <f>VLOOKUP(IF('ブロック表'!$D$16=9,ゲームNo!$C59,IF('ブロック表'!$D$16=10,ゲームNo!$I59,IF('ブロック表'!$D$16=11,ゲームNo!$O59,ゲームNo!$U59))),'ブロック表'!$A$4:$N$15,7,FALSE)</f>
        <v>櫻井 崇之</v>
      </c>
      <c r="H72" s="82"/>
      <c r="I72" s="83">
        <v>92</v>
      </c>
      <c r="J72" s="84" t="s">
        <v>394</v>
      </c>
      <c r="K72" s="82"/>
      <c r="L72" s="21" t="str">
        <f>VLOOKUP(IF('ブロック表'!$D$16=9,ゲームNo!$D59,IF('ブロック表'!$D$16=10,ゲームNo!$J59,IF('ブロック表'!$D$16=11,ゲームNo!$P59,ゲームNo!$V59))),'ブロック表'!$A$4:$N$15,7,FALSE)</f>
        <v>末岡 修</v>
      </c>
      <c r="M72" s="72" t="str">
        <f>VLOOKUP(IF('ブロック表'!$D$16=9,ゲームNo!$D59,IF('ブロック表'!$D$16=10,ゲームNo!$J59,IF('ブロック表'!$D$16=11,ゲームNo!$P59,ゲームNo!$V59))),'ブロック表'!$A$4:$C$15,3,FALSE)</f>
        <v>和歌山</v>
      </c>
    </row>
    <row r="73" spans="1:13" ht="13.5" customHeight="1">
      <c r="A73" s="98">
        <v>58</v>
      </c>
      <c r="B73" s="70">
        <v>12</v>
      </c>
      <c r="C73" s="132">
        <v>3</v>
      </c>
      <c r="D73" s="104" t="str">
        <f t="shared" si="0"/>
        <v>和歌山野田 絢也</v>
      </c>
      <c r="E73" s="104" t="str">
        <f t="shared" si="1"/>
        <v>愛知杉本 博章</v>
      </c>
      <c r="F73" s="71" t="str">
        <f>VLOOKUP(IF('ブロック表'!$D$16=9,ゲームNo!$C60,IF('ブロック表'!$D$16=10,ゲームNo!$I60,IF('ブロック表'!$D$16=11,ゲームNo!$O60,ゲームNo!$U60))),'ブロック表'!$A$4:$C$15,3,FALSE)</f>
        <v>愛知</v>
      </c>
      <c r="G73" s="15" t="str">
        <f>VLOOKUP(IF('ブロック表'!$D$16=9,ゲームNo!$C60,IF('ブロック表'!$D$16=10,ゲームNo!$I60,IF('ブロック表'!$D$16=11,ゲームNo!$O60,ゲームNo!$U60))),'ブロック表'!$A$4:$N$15,9,FALSE)</f>
        <v>野田 絢也</v>
      </c>
      <c r="H73" s="82"/>
      <c r="I73" s="83">
        <v>105</v>
      </c>
      <c r="J73" s="84" t="s">
        <v>394</v>
      </c>
      <c r="K73" s="82"/>
      <c r="L73" s="21" t="str">
        <f>VLOOKUP(IF('ブロック表'!$D$16=9,ゲームNo!$D60,IF('ブロック表'!$D$16=10,ゲームNo!$J60,IF('ブロック表'!$D$16=11,ゲームNo!$P60,ゲームNo!$V60))),'ブロック表'!$A$4:$N$15,9,FALSE)</f>
        <v>杉本 博章</v>
      </c>
      <c r="M73" s="72" t="str">
        <f>VLOOKUP(IF('ブロック表'!$D$16=9,ゲームNo!$D60,IF('ブロック表'!$D$16=10,ゲームNo!$J60,IF('ブロック表'!$D$16=11,ゲームNo!$P60,ゲームNo!$V60))),'ブロック表'!$A$4:$C$15,3,FALSE)</f>
        <v>和歌山</v>
      </c>
    </row>
    <row r="74" spans="1:13" ht="13.5" customHeight="1">
      <c r="A74" s="98">
        <v>59</v>
      </c>
      <c r="B74" s="70">
        <v>12</v>
      </c>
      <c r="C74" s="132">
        <v>4</v>
      </c>
      <c r="D74" s="104" t="str">
        <f t="shared" si="0"/>
        <v>和歌山近藤 智靖</v>
      </c>
      <c r="E74" s="104" t="str">
        <f t="shared" si="1"/>
        <v>愛知丹次 力良</v>
      </c>
      <c r="F74" s="71" t="str">
        <f>VLOOKUP(IF('ブロック表'!$D$16=9,ゲームNo!$C61,IF('ブロック表'!$D$16=10,ゲームNo!$I61,IF('ブロック表'!$D$16=11,ゲームNo!$O61,ゲームNo!$U61))),'ブロック表'!$A$4:$C$15,3,FALSE)</f>
        <v>愛知</v>
      </c>
      <c r="G74" s="15" t="str">
        <f>VLOOKUP(IF('ブロック表'!$D$16=9,ゲームNo!$C61,IF('ブロック表'!$D$16=10,ゲームNo!$I61,IF('ブロック表'!$D$16=11,ゲームNo!$O61,ゲームNo!$U61))),'ブロック表'!$A$4:$N$15,11,FALSE)</f>
        <v>近藤 智靖</v>
      </c>
      <c r="H74" s="82"/>
      <c r="I74" s="83" t="s">
        <v>394</v>
      </c>
      <c r="J74" s="84">
        <v>13</v>
      </c>
      <c r="K74" s="82"/>
      <c r="L74" s="21" t="str">
        <f>VLOOKUP(IF('ブロック表'!$D$16=9,ゲームNo!$D61,IF('ブロック表'!$D$16=10,ゲームNo!$J61,IF('ブロック表'!$D$16=11,ゲームNo!$P61,ゲームNo!$V61))),'ブロック表'!$A$4:$N$15,11,FALSE)</f>
        <v>丹次 力良</v>
      </c>
      <c r="M74" s="72" t="str">
        <f>VLOOKUP(IF('ブロック表'!$D$16=9,ゲームNo!$D61,IF('ブロック表'!$D$16=10,ゲームNo!$J61,IF('ブロック表'!$D$16=11,ゲームNo!$P61,ゲームNo!$V61))),'ブロック表'!$A$4:$C$15,3,FALSE)</f>
        <v>和歌山</v>
      </c>
    </row>
    <row r="75" spans="1:13" ht="14.25" customHeight="1">
      <c r="A75" s="99">
        <v>60</v>
      </c>
      <c r="B75" s="73">
        <v>12</v>
      </c>
      <c r="C75" s="133">
        <v>5</v>
      </c>
      <c r="D75" s="105" t="str">
        <f t="shared" si="0"/>
        <v>和歌山島田 隆嗣</v>
      </c>
      <c r="E75" s="105" t="str">
        <f t="shared" si="1"/>
        <v>愛知和田 宗一郎</v>
      </c>
      <c r="F75" s="74" t="str">
        <f>VLOOKUP(IF('ブロック表'!$D$16=9,ゲームNo!$C62,IF('ブロック表'!$D$16=10,ゲームNo!$I62,IF('ブロック表'!$D$16=11,ゲームNo!$O62,ゲームNo!$U62))),'ブロック表'!$A$4:$C$15,3,FALSE)</f>
        <v>愛知</v>
      </c>
      <c r="G75" s="17" t="str">
        <f>VLOOKUP(IF('ブロック表'!$D$16=9,ゲームNo!$C62,IF('ブロック表'!$D$16=10,ゲームNo!$I62,IF('ブロック表'!$D$16=11,ゲームNo!$O62,ゲームNo!$U62))),'ブロック表'!$A$4:$N$15,13,FALSE)</f>
        <v>島田 隆嗣</v>
      </c>
      <c r="H75" s="85"/>
      <c r="I75" s="86" t="s">
        <v>394</v>
      </c>
      <c r="J75" s="87">
        <v>111</v>
      </c>
      <c r="K75" s="85"/>
      <c r="L75" s="22" t="str">
        <f>VLOOKUP(IF('ブロック表'!$D$16=9,ゲームNo!$D62,IF('ブロック表'!$D$16=10,ゲームNo!$J62,IF('ブロック表'!$D$16=11,ゲームNo!$P62,ゲームNo!$V62))),'ブロック表'!$A$4:$N$15,13,FALSE)</f>
        <v>和田 宗一郎</v>
      </c>
      <c r="M75" s="75" t="str">
        <f>VLOOKUP(IF('ブロック表'!$D$16=9,ゲームNo!$D62,IF('ブロック表'!$D$16=10,ゲームNo!$J62,IF('ブロック表'!$D$16=11,ゲームNo!$P62,ゲームNo!$V62))),'ブロック表'!$A$4:$C$15,3,FALSE)</f>
        <v>和歌山</v>
      </c>
    </row>
    <row r="76" spans="1:13" ht="13.5" customHeight="1">
      <c r="A76" s="97">
        <v>61</v>
      </c>
      <c r="B76" s="92">
        <v>13</v>
      </c>
      <c r="C76" s="131">
        <v>1</v>
      </c>
      <c r="D76" s="106" t="str">
        <f t="shared" si="0"/>
        <v>滋賀由本 拓</v>
      </c>
      <c r="E76" s="106" t="str">
        <f t="shared" si="1"/>
        <v>大阪B酒井 美希</v>
      </c>
      <c r="F76" s="76" t="str">
        <f>VLOOKUP(IF('ブロック表'!$D$16=9,ゲームNo!$C63,IF('ブロック表'!$D$16=10,ゲームNo!$I63,IF('ブロック表'!$D$16=11,ゲームNo!$O63,ゲームNo!$U63))),'ブロック表'!$A$4:$C$15,3,FALSE)</f>
        <v>大阪B</v>
      </c>
      <c r="G76" s="19" t="str">
        <f>VLOOKUP(IF('ブロック表'!$D$16=9,ゲームNo!$C63,IF('ブロック表'!$D$16=10,ゲームNo!$I63,IF('ブロック表'!$D$16=11,ゲームNo!$O63,ゲームNo!$U63))),'ブロック表'!$A$4:$N$15,5,FALSE)</f>
        <v>由本 拓</v>
      </c>
      <c r="H76" s="88"/>
      <c r="I76" s="89">
        <v>116</v>
      </c>
      <c r="J76" s="90" t="s">
        <v>394</v>
      </c>
      <c r="K76" s="88"/>
      <c r="L76" s="20" t="str">
        <f>VLOOKUP(IF('ブロック表'!$D$16=9,ゲームNo!$D63,IF('ブロック表'!$D$16=10,ゲームNo!$J63,IF('ブロック表'!$D$16=11,ゲームNo!$P63,ゲームNo!$V63))),'ブロック表'!$A$4:$N$15,5,FALSE)</f>
        <v>酒井 美希</v>
      </c>
      <c r="M76" s="93" t="str">
        <f>VLOOKUP(IF('ブロック表'!$D$16=9,ゲームNo!$D63,IF('ブロック表'!$D$16=10,ゲームNo!$J63,IF('ブロック表'!$D$16=11,ゲームNo!$P63,ゲームNo!$V63))),'ブロック表'!$A$4:$C$15,3,FALSE)</f>
        <v>滋賀</v>
      </c>
    </row>
    <row r="77" spans="1:13" ht="13.5" customHeight="1">
      <c r="A77" s="98">
        <v>62</v>
      </c>
      <c r="B77" s="70">
        <v>13</v>
      </c>
      <c r="C77" s="132">
        <v>2</v>
      </c>
      <c r="D77" s="104" t="str">
        <f t="shared" si="0"/>
        <v>滋賀西田 恵子</v>
      </c>
      <c r="E77" s="104" t="str">
        <f t="shared" si="1"/>
        <v>大阪B大橋 義治</v>
      </c>
      <c r="F77" s="71" t="str">
        <f>VLOOKUP(IF('ブロック表'!$D$16=9,ゲームNo!$C64,IF('ブロック表'!$D$16=10,ゲームNo!$I64,IF('ブロック表'!$D$16=11,ゲームNo!$O64,ゲームNo!$U64))),'ブロック表'!$A$4:$C$15,3,FALSE)</f>
        <v>大阪B</v>
      </c>
      <c r="G77" s="15" t="str">
        <f>VLOOKUP(IF('ブロック表'!$D$16=9,ゲームNo!$C64,IF('ブロック表'!$D$16=10,ゲームNo!$I64,IF('ブロック表'!$D$16=11,ゲームNo!$O64,ゲームNo!$U64))),'ブロック表'!$A$4:$N$15,7,FALSE)</f>
        <v>西田 恵子</v>
      </c>
      <c r="H77" s="82"/>
      <c r="I77" s="83">
        <v>114</v>
      </c>
      <c r="J77" s="84" t="s">
        <v>403</v>
      </c>
      <c r="K77" s="82"/>
      <c r="L77" s="21" t="str">
        <f>VLOOKUP(IF('ブロック表'!$D$16=9,ゲームNo!$D64,IF('ブロック表'!$D$16=10,ゲームNo!$J64,IF('ブロック表'!$D$16=11,ゲームNo!$P64,ゲームNo!$V64))),'ブロック表'!$A$4:$N$15,7,FALSE)</f>
        <v>大橋 義治</v>
      </c>
      <c r="M77" s="72" t="str">
        <f>VLOOKUP(IF('ブロック表'!$D$16=9,ゲームNo!$D64,IF('ブロック表'!$D$16=10,ゲームNo!$J64,IF('ブロック表'!$D$16=11,ゲームNo!$P64,ゲームNo!$V64))),'ブロック表'!$A$4:$C$15,3,FALSE)</f>
        <v>滋賀</v>
      </c>
    </row>
    <row r="78" spans="1:13" ht="13.5" customHeight="1">
      <c r="A78" s="98">
        <v>63</v>
      </c>
      <c r="B78" s="70">
        <v>13</v>
      </c>
      <c r="C78" s="132">
        <v>3</v>
      </c>
      <c r="D78" s="104" t="str">
        <f t="shared" si="0"/>
        <v>滋賀野村 宗司</v>
      </c>
      <c r="E78" s="104" t="str">
        <f t="shared" si="1"/>
        <v>大阪B西峰 久祐</v>
      </c>
      <c r="F78" s="71" t="str">
        <f>VLOOKUP(IF('ブロック表'!$D$16=9,ゲームNo!$C65,IF('ブロック表'!$D$16=10,ゲームNo!$I65,IF('ブロック表'!$D$16=11,ゲームNo!$O65,ゲームNo!$U65))),'ブロック表'!$A$4:$C$15,3,FALSE)</f>
        <v>大阪B</v>
      </c>
      <c r="G78" s="15" t="str">
        <f>VLOOKUP(IF('ブロック表'!$D$16=9,ゲームNo!$C65,IF('ブロック表'!$D$16=10,ゲームNo!$I65,IF('ブロック表'!$D$16=11,ゲームNo!$O65,ゲームNo!$U65))),'ブロック表'!$A$4:$N$15,9,FALSE)</f>
        <v>野村 宗司</v>
      </c>
      <c r="H78" s="82"/>
      <c r="I78" s="83">
        <v>0</v>
      </c>
      <c r="J78" s="84" t="s">
        <v>394</v>
      </c>
      <c r="K78" s="82"/>
      <c r="L78" s="21" t="str">
        <f>VLOOKUP(IF('ブロック表'!$D$16=9,ゲームNo!$D65,IF('ブロック表'!$D$16=10,ゲームNo!$J65,IF('ブロック表'!$D$16=11,ゲームNo!$P65,ゲームNo!$V65))),'ブロック表'!$A$4:$N$15,9,FALSE)</f>
        <v>西峰 久祐</v>
      </c>
      <c r="M78" s="72" t="str">
        <f>VLOOKUP(IF('ブロック表'!$D$16=9,ゲームNo!$D65,IF('ブロック表'!$D$16=10,ゲームNo!$J65,IF('ブロック表'!$D$16=11,ゲームNo!$P65,ゲームNo!$V65))),'ブロック表'!$A$4:$C$15,3,FALSE)</f>
        <v>滋賀</v>
      </c>
    </row>
    <row r="79" spans="1:13" ht="13.5" customHeight="1">
      <c r="A79" s="98">
        <v>64</v>
      </c>
      <c r="B79" s="70">
        <v>13</v>
      </c>
      <c r="C79" s="132">
        <v>4</v>
      </c>
      <c r="D79" s="104" t="str">
        <f t="shared" si="0"/>
        <v>滋賀山崎 真紀子</v>
      </c>
      <c r="E79" s="104" t="str">
        <f t="shared" si="1"/>
        <v>大阪B長田 智紀</v>
      </c>
      <c r="F79" s="71" t="str">
        <f>VLOOKUP(IF('ブロック表'!$D$16=9,ゲームNo!$C66,IF('ブロック表'!$D$16=10,ゲームNo!$I66,IF('ブロック表'!$D$16=11,ゲームNo!$O66,ゲームNo!$U66))),'ブロック表'!$A$4:$C$15,3,FALSE)</f>
        <v>大阪B</v>
      </c>
      <c r="G79" s="15" t="str">
        <f>VLOOKUP(IF('ブロック表'!$D$16=9,ゲームNo!$C66,IF('ブロック表'!$D$16=10,ゲームNo!$I66,IF('ブロック表'!$D$16=11,ゲームNo!$O66,ゲームNo!$U66))),'ブロック表'!$A$4:$N$15,11,FALSE)</f>
        <v>山崎 真紀子</v>
      </c>
      <c r="H79" s="82"/>
      <c r="I79" s="83" t="s">
        <v>394</v>
      </c>
      <c r="J79" s="84">
        <v>104</v>
      </c>
      <c r="K79" s="82"/>
      <c r="L79" s="21" t="str">
        <f>VLOOKUP(IF('ブロック表'!$D$16=9,ゲームNo!$D66,IF('ブロック表'!$D$16=10,ゲームNo!$J66,IF('ブロック表'!$D$16=11,ゲームNo!$P66,ゲームNo!$V66))),'ブロック表'!$A$4:$N$15,11,FALSE)</f>
        <v>長田 智紀</v>
      </c>
      <c r="M79" s="72" t="str">
        <f>VLOOKUP(IF('ブロック表'!$D$16=9,ゲームNo!$D66,IF('ブロック表'!$D$16=10,ゲームNo!$J66,IF('ブロック表'!$D$16=11,ゲームNo!$P66,ゲームNo!$V66))),'ブロック表'!$A$4:$C$15,3,FALSE)</f>
        <v>滋賀</v>
      </c>
    </row>
    <row r="80" spans="1:13" ht="14.25" customHeight="1">
      <c r="A80" s="99">
        <v>65</v>
      </c>
      <c r="B80" s="73">
        <v>13</v>
      </c>
      <c r="C80" s="133">
        <v>5</v>
      </c>
      <c r="D80" s="105" t="str">
        <f aca="true" t="shared" si="2" ref="D80:D143">M80&amp;G80</f>
        <v>滋賀小森 雅昭</v>
      </c>
      <c r="E80" s="105" t="str">
        <f aca="true" t="shared" si="3" ref="E80:E143">F80&amp;L80</f>
        <v>大阪B大橋 正寛</v>
      </c>
      <c r="F80" s="74" t="str">
        <f>VLOOKUP(IF('ブロック表'!$D$16=9,ゲームNo!$C67,IF('ブロック表'!$D$16=10,ゲームNo!$I67,IF('ブロック表'!$D$16=11,ゲームNo!$O67,ゲームNo!$U67))),'ブロック表'!$A$4:$C$15,3,FALSE)</f>
        <v>大阪B</v>
      </c>
      <c r="G80" s="17" t="str">
        <f>VLOOKUP(IF('ブロック表'!$D$16=9,ゲームNo!$C67,IF('ブロック表'!$D$16=10,ゲームNo!$I67,IF('ブロック表'!$D$16=11,ゲームNo!$O67,ゲームNo!$U67))),'ブロック表'!$A$4:$N$15,13,FALSE)</f>
        <v>小森 雅昭</v>
      </c>
      <c r="H80" s="85"/>
      <c r="I80" s="86">
        <v>85</v>
      </c>
      <c r="J80" s="87" t="s">
        <v>394</v>
      </c>
      <c r="K80" s="85"/>
      <c r="L80" s="22" t="str">
        <f>VLOOKUP(IF('ブロック表'!$D$16=9,ゲームNo!$D67,IF('ブロック表'!$D$16=10,ゲームNo!$J67,IF('ブロック表'!$D$16=11,ゲームNo!$P67,ゲームNo!$V67))),'ブロック表'!$A$4:$N$15,13,FALSE)</f>
        <v>大橋 正寛</v>
      </c>
      <c r="M80" s="75" t="str">
        <f>VLOOKUP(IF('ブロック表'!$D$16=9,ゲームNo!$D67,IF('ブロック表'!$D$16=10,ゲームNo!$J67,IF('ブロック表'!$D$16=11,ゲームNo!$P67,ゲームNo!$V67))),'ブロック表'!$A$4:$C$15,3,FALSE)</f>
        <v>滋賀</v>
      </c>
    </row>
    <row r="81" spans="1:13" ht="13.5" customHeight="1">
      <c r="A81" s="97">
        <v>66</v>
      </c>
      <c r="B81" s="92">
        <v>14</v>
      </c>
      <c r="C81" s="131">
        <v>1</v>
      </c>
      <c r="D81" s="106" t="str">
        <f t="shared" si="2"/>
        <v>奈良木村 隼人</v>
      </c>
      <c r="E81" s="106" t="str">
        <f t="shared" si="3"/>
        <v>岐阜岩本 剛</v>
      </c>
      <c r="F81" s="76" t="str">
        <f>VLOOKUP(IF('ブロック表'!$D$16=9,ゲームNo!$C68,IF('ブロック表'!$D$16=10,ゲームNo!$I68,IF('ブロック表'!$D$16=11,ゲームNo!$O68,ゲームNo!$U68))),'ブロック表'!$A$4:$C$15,3,FALSE)</f>
        <v>岐阜</v>
      </c>
      <c r="G81" s="19" t="str">
        <f>VLOOKUP(IF('ブロック表'!$D$16=9,ゲームNo!$C68,IF('ブロック表'!$D$16=10,ゲームNo!$I68,IF('ブロック表'!$D$16=11,ゲームNo!$O68,ゲームNo!$U68))),'ブロック表'!$A$4:$N$15,5,FALSE)</f>
        <v>木村 隼人</v>
      </c>
      <c r="H81" s="88"/>
      <c r="I81" s="89">
        <v>73</v>
      </c>
      <c r="J81" s="90" t="s">
        <v>394</v>
      </c>
      <c r="K81" s="88"/>
      <c r="L81" s="20" t="str">
        <f>VLOOKUP(IF('ブロック表'!$D$16=9,ゲームNo!$D68,IF('ブロック表'!$D$16=10,ゲームNo!$J68,IF('ブロック表'!$D$16=11,ゲームNo!$P68,ゲームNo!$V68))),'ブロック表'!$A$4:$N$15,5,FALSE)</f>
        <v>岩本 剛</v>
      </c>
      <c r="M81" s="93" t="str">
        <f>VLOOKUP(IF('ブロック表'!$D$16=9,ゲームNo!$D68,IF('ブロック表'!$D$16=10,ゲームNo!$J68,IF('ブロック表'!$D$16=11,ゲームNo!$P68,ゲームNo!$V68))),'ブロック表'!$A$4:$C$15,3,FALSE)</f>
        <v>奈良</v>
      </c>
    </row>
    <row r="82" spans="1:13" ht="13.5" customHeight="1">
      <c r="A82" s="98">
        <v>67</v>
      </c>
      <c r="B82" s="70">
        <v>14</v>
      </c>
      <c r="C82" s="132">
        <v>2</v>
      </c>
      <c r="D82" s="104" t="str">
        <f t="shared" si="2"/>
        <v>奈良辻 和美</v>
      </c>
      <c r="E82" s="104" t="str">
        <f t="shared" si="3"/>
        <v>岐阜水田 賢宏</v>
      </c>
      <c r="F82" s="71" t="str">
        <f>VLOOKUP(IF('ブロック表'!$D$16=9,ゲームNo!$C69,IF('ブロック表'!$D$16=10,ゲームNo!$I69,IF('ブロック表'!$D$16=11,ゲームNo!$O69,ゲームNo!$U69))),'ブロック表'!$A$4:$C$15,3,FALSE)</f>
        <v>岐阜</v>
      </c>
      <c r="G82" s="15" t="str">
        <f>VLOOKUP(IF('ブロック表'!$D$16=9,ゲームNo!$C69,IF('ブロック表'!$D$16=10,ゲームNo!$I69,IF('ブロック表'!$D$16=11,ゲームNo!$O69,ゲームNo!$U69))),'ブロック表'!$A$4:$N$15,7,FALSE)</f>
        <v>辻 和美</v>
      </c>
      <c r="H82" s="82"/>
      <c r="I82" s="83" t="s">
        <v>394</v>
      </c>
      <c r="J82" s="84">
        <v>103</v>
      </c>
      <c r="K82" s="82"/>
      <c r="L82" s="21" t="str">
        <f>VLOOKUP(IF('ブロック表'!$D$16=9,ゲームNo!$D69,IF('ブロック表'!$D$16=10,ゲームNo!$J69,IF('ブロック表'!$D$16=11,ゲームNo!$P69,ゲームNo!$V69))),'ブロック表'!$A$4:$N$15,7,FALSE)</f>
        <v>水田 賢宏</v>
      </c>
      <c r="M82" s="72" t="str">
        <f>VLOOKUP(IF('ブロック表'!$D$16=9,ゲームNo!$D69,IF('ブロック表'!$D$16=10,ゲームNo!$J69,IF('ブロック表'!$D$16=11,ゲームNo!$P69,ゲームNo!$V69))),'ブロック表'!$A$4:$C$15,3,FALSE)</f>
        <v>奈良</v>
      </c>
    </row>
    <row r="83" spans="1:13" ht="13.5" customHeight="1">
      <c r="A83" s="98">
        <v>68</v>
      </c>
      <c r="B83" s="70">
        <v>14</v>
      </c>
      <c r="C83" s="132">
        <v>3</v>
      </c>
      <c r="D83" s="104" t="str">
        <f t="shared" si="2"/>
        <v>奈良徳永 修児</v>
      </c>
      <c r="E83" s="104" t="str">
        <f t="shared" si="3"/>
        <v>岐阜長谷川 進</v>
      </c>
      <c r="F83" s="71" t="str">
        <f>VLOOKUP(IF('ブロック表'!$D$16=9,ゲームNo!$C70,IF('ブロック表'!$D$16=10,ゲームNo!$I70,IF('ブロック表'!$D$16=11,ゲームNo!$O70,ゲームNo!$U70))),'ブロック表'!$A$4:$C$15,3,FALSE)</f>
        <v>岐阜</v>
      </c>
      <c r="G83" s="15" t="str">
        <f>VLOOKUP(IF('ブロック表'!$D$16=9,ゲームNo!$C70,IF('ブロック表'!$D$16=10,ゲームNo!$I70,IF('ブロック表'!$D$16=11,ゲームNo!$O70,ゲームNo!$U70))),'ブロック表'!$A$4:$N$15,9,FALSE)</f>
        <v>徳永 修児</v>
      </c>
      <c r="H83" s="82"/>
      <c r="I83" s="83" t="s">
        <v>394</v>
      </c>
      <c r="J83" s="84">
        <v>36</v>
      </c>
      <c r="K83" s="82"/>
      <c r="L83" s="21" t="str">
        <f>VLOOKUP(IF('ブロック表'!$D$16=9,ゲームNo!$D70,IF('ブロック表'!$D$16=10,ゲームNo!$J70,IF('ブロック表'!$D$16=11,ゲームNo!$P70,ゲームNo!$V70))),'ブロック表'!$A$4:$N$15,9,FALSE)</f>
        <v>長谷川 進</v>
      </c>
      <c r="M83" s="72" t="str">
        <f>VLOOKUP(IF('ブロック表'!$D$16=9,ゲームNo!$D70,IF('ブロック表'!$D$16=10,ゲームNo!$J70,IF('ブロック表'!$D$16=11,ゲームNo!$P70,ゲームNo!$V70))),'ブロック表'!$A$4:$C$15,3,FALSE)</f>
        <v>奈良</v>
      </c>
    </row>
    <row r="84" spans="1:13" ht="13.5" customHeight="1">
      <c r="A84" s="98">
        <v>69</v>
      </c>
      <c r="B84" s="70">
        <v>14</v>
      </c>
      <c r="C84" s="132">
        <v>4</v>
      </c>
      <c r="D84" s="104" t="str">
        <f t="shared" si="2"/>
        <v>奈良高橋 浩之</v>
      </c>
      <c r="E84" s="104" t="str">
        <f t="shared" si="3"/>
        <v>岐阜植田 慎也</v>
      </c>
      <c r="F84" s="71" t="str">
        <f>VLOOKUP(IF('ブロック表'!$D$16=9,ゲームNo!$C71,IF('ブロック表'!$D$16=10,ゲームNo!$I71,IF('ブロック表'!$D$16=11,ゲームNo!$O71,ゲームNo!$U71))),'ブロック表'!$A$4:$C$15,3,FALSE)</f>
        <v>岐阜</v>
      </c>
      <c r="G84" s="15" t="str">
        <f>VLOOKUP(IF('ブロック表'!$D$16=9,ゲームNo!$C71,IF('ブロック表'!$D$16=10,ゲームNo!$I71,IF('ブロック表'!$D$16=11,ゲームNo!$O71,ゲームNo!$U71))),'ブロック表'!$A$4:$N$15,11,FALSE)</f>
        <v>高橋 浩之</v>
      </c>
      <c r="H84" s="82"/>
      <c r="I84" s="83" t="s">
        <v>394</v>
      </c>
      <c r="J84" s="84">
        <v>95</v>
      </c>
      <c r="K84" s="82"/>
      <c r="L84" s="21" t="str">
        <f>VLOOKUP(IF('ブロック表'!$D$16=9,ゲームNo!$D71,IF('ブロック表'!$D$16=10,ゲームNo!$J71,IF('ブロック表'!$D$16=11,ゲームNo!$P71,ゲームNo!$V71))),'ブロック表'!$A$4:$N$15,11,FALSE)</f>
        <v>植田 慎也</v>
      </c>
      <c r="M84" s="72" t="str">
        <f>VLOOKUP(IF('ブロック表'!$D$16=9,ゲームNo!$D71,IF('ブロック表'!$D$16=10,ゲームNo!$J71,IF('ブロック表'!$D$16=11,ゲームNo!$P71,ゲームNo!$V71))),'ブロック表'!$A$4:$C$15,3,FALSE)</f>
        <v>奈良</v>
      </c>
    </row>
    <row r="85" spans="1:13" ht="14.25" customHeight="1">
      <c r="A85" s="99">
        <v>70</v>
      </c>
      <c r="B85" s="73">
        <v>14</v>
      </c>
      <c r="C85" s="133">
        <v>5</v>
      </c>
      <c r="D85" s="105" t="str">
        <f t="shared" si="2"/>
        <v>奈良野原 朋和</v>
      </c>
      <c r="E85" s="105" t="str">
        <f t="shared" si="3"/>
        <v>岐阜山田 晃司</v>
      </c>
      <c r="F85" s="74" t="str">
        <f>VLOOKUP(IF('ブロック表'!$D$16=9,ゲームNo!$C72,IF('ブロック表'!$D$16=10,ゲームNo!$I72,IF('ブロック表'!$D$16=11,ゲームNo!$O72,ゲームNo!$U72))),'ブロック表'!$A$4:$C$15,3,FALSE)</f>
        <v>岐阜</v>
      </c>
      <c r="G85" s="17" t="str">
        <f>VLOOKUP(IF('ブロック表'!$D$16=9,ゲームNo!$C72,IF('ブロック表'!$D$16=10,ゲームNo!$I72,IF('ブロック表'!$D$16=11,ゲームNo!$O72,ゲームNo!$U72))),'ブロック表'!$A$4:$N$15,13,FALSE)</f>
        <v>野原 朋和</v>
      </c>
      <c r="H85" s="85"/>
      <c r="I85" s="86">
        <v>109</v>
      </c>
      <c r="J85" s="87" t="s">
        <v>394</v>
      </c>
      <c r="K85" s="85"/>
      <c r="L85" s="22" t="str">
        <f>VLOOKUP(IF('ブロック表'!$D$16=9,ゲームNo!$D72,IF('ブロック表'!$D$16=10,ゲームNo!$J72,IF('ブロック表'!$D$16=11,ゲームNo!$P72,ゲームNo!$V72))),'ブロック表'!$A$4:$N$15,13,FALSE)</f>
        <v>山田 晃司</v>
      </c>
      <c r="M85" s="75" t="str">
        <f>VLOOKUP(IF('ブロック表'!$D$16=9,ゲームNo!$D72,IF('ブロック表'!$D$16=10,ゲームNo!$J72,IF('ブロック表'!$D$16=11,ゲームNo!$P72,ゲームNo!$V72))),'ブロック表'!$A$4:$C$15,3,FALSE)</f>
        <v>奈良</v>
      </c>
    </row>
    <row r="86" spans="1:13" ht="13.5" customHeight="1">
      <c r="A86" s="97">
        <v>71</v>
      </c>
      <c r="B86" s="92">
        <v>15</v>
      </c>
      <c r="C86" s="131">
        <v>1</v>
      </c>
      <c r="D86" s="106" t="str">
        <f t="shared" si="2"/>
        <v>三重高木 俊行</v>
      </c>
      <c r="E86" s="106" t="str">
        <f t="shared" si="3"/>
        <v>兵庫水野 憲一</v>
      </c>
      <c r="F86" s="76" t="str">
        <f>VLOOKUP(IF('ブロック表'!$D$16=9,ゲームNo!$C73,IF('ブロック表'!$D$16=10,ゲームNo!$I73,IF('ブロック表'!$D$16=11,ゲームNo!$O73,ゲームNo!$U73))),'ブロック表'!$A$4:$C$15,3,FALSE)</f>
        <v>兵庫</v>
      </c>
      <c r="G86" s="19" t="str">
        <f>VLOOKUP(IF('ブロック表'!$D$16=9,ゲームNo!$C73,IF('ブロック表'!$D$16=10,ゲームNo!$I73,IF('ブロック表'!$D$16=11,ゲームNo!$O73,ゲームNo!$U73))),'ブロック表'!$A$4:$N$15,5,FALSE)</f>
        <v>高木 俊行</v>
      </c>
      <c r="H86" s="88"/>
      <c r="I86" s="89" t="s">
        <v>394</v>
      </c>
      <c r="J86" s="90">
        <v>54</v>
      </c>
      <c r="K86" s="88"/>
      <c r="L86" s="20" t="str">
        <f>VLOOKUP(IF('ブロック表'!$D$16=9,ゲームNo!$D73,IF('ブロック表'!$D$16=10,ゲームNo!$J73,IF('ブロック表'!$D$16=11,ゲームNo!$P73,ゲームNo!$V73))),'ブロック表'!$A$4:$N$15,5,FALSE)</f>
        <v>水野 憲一</v>
      </c>
      <c r="M86" s="93" t="str">
        <f>VLOOKUP(IF('ブロック表'!$D$16=9,ゲームNo!$D73,IF('ブロック表'!$D$16=10,ゲームNo!$J73,IF('ブロック表'!$D$16=11,ゲームNo!$P73,ゲームNo!$V73))),'ブロック表'!$A$4:$C$15,3,FALSE)</f>
        <v>三重</v>
      </c>
    </row>
    <row r="87" spans="1:13" ht="13.5" customHeight="1">
      <c r="A87" s="98">
        <v>72</v>
      </c>
      <c r="B87" s="70">
        <v>15</v>
      </c>
      <c r="C87" s="132">
        <v>2</v>
      </c>
      <c r="D87" s="104" t="str">
        <f t="shared" si="2"/>
        <v>三重堂園 雅也</v>
      </c>
      <c r="E87" s="104" t="str">
        <f t="shared" si="3"/>
        <v>兵庫市川 裕貴</v>
      </c>
      <c r="F87" s="71" t="str">
        <f>VLOOKUP(IF('ブロック表'!$D$16=9,ゲームNo!$C74,IF('ブロック表'!$D$16=10,ゲームNo!$I74,IF('ブロック表'!$D$16=11,ゲームNo!$O74,ゲームNo!$U74))),'ブロック表'!$A$4:$C$15,3,FALSE)</f>
        <v>兵庫</v>
      </c>
      <c r="G87" s="15" t="str">
        <f>VLOOKUP(IF('ブロック表'!$D$16=9,ゲームNo!$C74,IF('ブロック表'!$D$16=10,ゲームNo!$I74,IF('ブロック表'!$D$16=11,ゲームNo!$O74,ゲームNo!$U74))),'ブロック表'!$A$4:$N$15,7,FALSE)</f>
        <v>堂園 雅也</v>
      </c>
      <c r="H87" s="82">
        <v>110</v>
      </c>
      <c r="I87" s="83" t="s">
        <v>394</v>
      </c>
      <c r="J87" s="84">
        <v>11</v>
      </c>
      <c r="K87" s="82"/>
      <c r="L87" s="21" t="str">
        <f>VLOOKUP(IF('ブロック表'!$D$16=9,ゲームNo!$D74,IF('ブロック表'!$D$16=10,ゲームNo!$J74,IF('ブロック表'!$D$16=11,ゲームNo!$P74,ゲームNo!$V74))),'ブロック表'!$A$4:$N$15,7,FALSE)</f>
        <v>市川 裕貴</v>
      </c>
      <c r="M87" s="72" t="str">
        <f>VLOOKUP(IF('ブロック表'!$D$16=9,ゲームNo!$D74,IF('ブロック表'!$D$16=10,ゲームNo!$J74,IF('ブロック表'!$D$16=11,ゲームNo!$P74,ゲームNo!$V74))),'ブロック表'!$A$4:$C$15,3,FALSE)</f>
        <v>三重</v>
      </c>
    </row>
    <row r="88" spans="1:13" ht="13.5" customHeight="1">
      <c r="A88" s="98">
        <v>73</v>
      </c>
      <c r="B88" s="70">
        <v>15</v>
      </c>
      <c r="C88" s="132">
        <v>3</v>
      </c>
      <c r="D88" s="104" t="str">
        <f t="shared" si="2"/>
        <v>三重森 映智</v>
      </c>
      <c r="E88" s="104" t="str">
        <f t="shared" si="3"/>
        <v>兵庫黒宮 健二</v>
      </c>
      <c r="F88" s="71" t="str">
        <f>VLOOKUP(IF('ブロック表'!$D$16=9,ゲームNo!$C75,IF('ブロック表'!$D$16=10,ゲームNo!$I75,IF('ブロック表'!$D$16=11,ゲームNo!$O75,ゲームNo!$U75))),'ブロック表'!$A$4:$C$15,3,FALSE)</f>
        <v>兵庫</v>
      </c>
      <c r="G88" s="15" t="str">
        <f>VLOOKUP(IF('ブロック表'!$D$16=9,ゲームNo!$C75,IF('ブロック表'!$D$16=10,ゲームNo!$I75,IF('ブロック表'!$D$16=11,ゲームNo!$O75,ゲームNo!$U75))),'ブロック表'!$A$4:$N$15,9,FALSE)</f>
        <v>森 映智</v>
      </c>
      <c r="H88" s="82"/>
      <c r="I88" s="83">
        <v>53</v>
      </c>
      <c r="J88" s="84" t="s">
        <v>394</v>
      </c>
      <c r="K88" s="82"/>
      <c r="L88" s="21" t="str">
        <f>VLOOKUP(IF('ブロック表'!$D$16=9,ゲームNo!$D75,IF('ブロック表'!$D$16=10,ゲームNo!$J75,IF('ブロック表'!$D$16=11,ゲームNo!$P75,ゲームNo!$V75))),'ブロック表'!$A$4:$N$15,9,FALSE)</f>
        <v>黒宮 健二</v>
      </c>
      <c r="M88" s="72" t="str">
        <f>VLOOKUP(IF('ブロック表'!$D$16=9,ゲームNo!$D75,IF('ブロック表'!$D$16=10,ゲームNo!$J75,IF('ブロック表'!$D$16=11,ゲームNo!$P75,ゲームNo!$V75))),'ブロック表'!$A$4:$C$15,3,FALSE)</f>
        <v>三重</v>
      </c>
    </row>
    <row r="89" spans="1:13" ht="13.5" customHeight="1">
      <c r="A89" s="98">
        <v>74</v>
      </c>
      <c r="B89" s="70">
        <v>15</v>
      </c>
      <c r="C89" s="132">
        <v>4</v>
      </c>
      <c r="D89" s="104" t="str">
        <f t="shared" si="2"/>
        <v>三重白澤 雄一郎</v>
      </c>
      <c r="E89" s="104" t="str">
        <f t="shared" si="3"/>
        <v>兵庫杉本 諭</v>
      </c>
      <c r="F89" s="71" t="str">
        <f>VLOOKUP(IF('ブロック表'!$D$16=9,ゲームNo!$C76,IF('ブロック表'!$D$16=10,ゲームNo!$I76,IF('ブロック表'!$D$16=11,ゲームNo!$O76,ゲームNo!$U76))),'ブロック表'!$A$4:$C$15,3,FALSE)</f>
        <v>兵庫</v>
      </c>
      <c r="G89" s="15" t="str">
        <f>VLOOKUP(IF('ブロック表'!$D$16=9,ゲームNo!$C76,IF('ブロック表'!$D$16=10,ゲームNo!$I76,IF('ブロック表'!$D$16=11,ゲームNo!$O76,ゲームNo!$U76))),'ブロック表'!$A$4:$N$15,11,FALSE)</f>
        <v>白澤 雄一郎</v>
      </c>
      <c r="H89" s="82"/>
      <c r="I89" s="83">
        <v>113</v>
      </c>
      <c r="J89" s="84" t="s">
        <v>394</v>
      </c>
      <c r="K89" s="82"/>
      <c r="L89" s="21" t="str">
        <f>VLOOKUP(IF('ブロック表'!$D$16=9,ゲームNo!$D76,IF('ブロック表'!$D$16=10,ゲームNo!$J76,IF('ブロック表'!$D$16=11,ゲームNo!$P76,ゲームNo!$V76))),'ブロック表'!$A$4:$N$15,11,FALSE)</f>
        <v>杉本 諭</v>
      </c>
      <c r="M89" s="72" t="str">
        <f>VLOOKUP(IF('ブロック表'!$D$16=9,ゲームNo!$D76,IF('ブロック表'!$D$16=10,ゲームNo!$J76,IF('ブロック表'!$D$16=11,ゲームNo!$P76,ゲームNo!$V76))),'ブロック表'!$A$4:$C$15,3,FALSE)</f>
        <v>三重</v>
      </c>
    </row>
    <row r="90" spans="1:13" ht="14.25" customHeight="1">
      <c r="A90" s="99">
        <v>75</v>
      </c>
      <c r="B90" s="73">
        <v>15</v>
      </c>
      <c r="C90" s="133">
        <v>5</v>
      </c>
      <c r="D90" s="105" t="str">
        <f t="shared" si="2"/>
        <v>三重平井 洸志</v>
      </c>
      <c r="E90" s="105" t="str">
        <f t="shared" si="3"/>
        <v>兵庫森本 英幸</v>
      </c>
      <c r="F90" s="74" t="str">
        <f>VLOOKUP(IF('ブロック表'!$D$16=9,ゲームNo!$C77,IF('ブロック表'!$D$16=10,ゲームNo!$I77,IF('ブロック表'!$D$16=11,ゲームNo!$O77,ゲームNo!$U77))),'ブロック表'!$A$4:$C$15,3,FALSE)</f>
        <v>兵庫</v>
      </c>
      <c r="G90" s="17" t="str">
        <f>VLOOKUP(IF('ブロック表'!$D$16=9,ゲームNo!$C77,IF('ブロック表'!$D$16=10,ゲームNo!$I77,IF('ブロック表'!$D$16=11,ゲームNo!$O77,ゲームNo!$U77))),'ブロック表'!$A$4:$N$15,13,FALSE)</f>
        <v>平井 洸志</v>
      </c>
      <c r="H90" s="85"/>
      <c r="I90" s="86" t="s">
        <v>394</v>
      </c>
      <c r="J90" s="87">
        <v>76</v>
      </c>
      <c r="K90" s="85"/>
      <c r="L90" s="22" t="str">
        <f>VLOOKUP(IF('ブロック表'!$D$16=9,ゲームNo!$D77,IF('ブロック表'!$D$16=10,ゲームNo!$J77,IF('ブロック表'!$D$16=11,ゲームNo!$P77,ゲームNo!$V77))),'ブロック表'!$A$4:$N$15,13,FALSE)</f>
        <v>森本 英幸</v>
      </c>
      <c r="M90" s="75" t="str">
        <f>VLOOKUP(IF('ブロック表'!$D$16=9,ゲームNo!$D77,IF('ブロック表'!$D$16=10,ゲームNo!$J77,IF('ブロック表'!$D$16=11,ゲームNo!$P77,ゲームNo!$V77))),'ブロック表'!$A$4:$C$15,3,FALSE)</f>
        <v>三重</v>
      </c>
    </row>
    <row r="91" spans="1:13" ht="13.5" customHeight="1">
      <c r="A91" s="223">
        <v>76</v>
      </c>
      <c r="B91" s="70">
        <v>16</v>
      </c>
      <c r="C91" s="224">
        <v>1</v>
      </c>
      <c r="D91" s="104" t="str">
        <f t="shared" si="2"/>
        <v>京都小川 晃</v>
      </c>
      <c r="E91" s="104" t="str">
        <f t="shared" si="3"/>
        <v>愛知今村 哲也</v>
      </c>
      <c r="F91" s="225" t="str">
        <f>VLOOKUP(IF('ブロック表'!$D$16=9,ゲームNo!$C78,IF('ブロック表'!$D$16=10,ゲームNo!$I78,IF('ブロック表'!$D$16=11,ゲームNo!$O78,ゲームNo!$U78))),'ブロック表'!$A$4:$C$15,3,FALSE)</f>
        <v>愛知</v>
      </c>
      <c r="G91" s="226" t="str">
        <f>VLOOKUP(IF('ブロック表'!$D$16=9,ゲームNo!$C78,IF('ブロック表'!$D$16=10,ゲームNo!$I78,IF('ブロック表'!$D$16=11,ゲームNo!$O78,ゲームNo!$U78))),'ブロック表'!$A$4:$N$15,5,FALSE)</f>
        <v>小川 晃</v>
      </c>
      <c r="H91" s="227"/>
      <c r="I91" s="228" t="s">
        <v>398</v>
      </c>
      <c r="J91" s="229">
        <v>6</v>
      </c>
      <c r="K91" s="227"/>
      <c r="L91" s="230" t="str">
        <f>VLOOKUP(IF('ブロック表'!$D$16=9,ゲームNo!$D78,IF('ブロック表'!$D$16=10,ゲームNo!$J78,IF('ブロック表'!$D$16=11,ゲームNo!$P78,ゲームNo!$V78))),'ブロック表'!$A$4:$N$15,5,FALSE)</f>
        <v>今村 哲也</v>
      </c>
      <c r="M91" s="231" t="str">
        <f>VLOOKUP(IF('ブロック表'!$D$16=9,ゲームNo!$D78,IF('ブロック表'!$D$16=10,ゲームNo!$J78,IF('ブロック表'!$D$16=11,ゲームNo!$P78,ゲームNo!$V78))),'ブロック表'!$A$4:$C$15,3,FALSE)</f>
        <v>京都</v>
      </c>
    </row>
    <row r="92" spans="1:13" ht="13.5" customHeight="1">
      <c r="A92" s="98">
        <v>77</v>
      </c>
      <c r="B92" s="70">
        <v>16</v>
      </c>
      <c r="C92" s="132">
        <v>2</v>
      </c>
      <c r="D92" s="104" t="str">
        <f t="shared" si="2"/>
        <v>京都櫻井 崇之</v>
      </c>
      <c r="E92" s="104" t="str">
        <f t="shared" si="3"/>
        <v>愛知田附 裕次</v>
      </c>
      <c r="F92" s="71" t="str">
        <f>VLOOKUP(IF('ブロック表'!$D$16=9,ゲームNo!$C79,IF('ブロック表'!$D$16=10,ゲームNo!$I79,IF('ブロック表'!$D$16=11,ゲームNo!$O79,ゲームNo!$U79))),'ブロック表'!$A$4:$C$15,3,FALSE)</f>
        <v>愛知</v>
      </c>
      <c r="G92" s="15" t="str">
        <f>VLOOKUP(IF('ブロック表'!$D$16=9,ゲームNo!$C79,IF('ブロック表'!$D$16=10,ゲームNo!$I79,IF('ブロック表'!$D$16=11,ゲームNo!$O79,ゲームNo!$U79))),'ブロック表'!$A$4:$N$15,7,FALSE)</f>
        <v>櫻井 崇之</v>
      </c>
      <c r="H92" s="82"/>
      <c r="I92" s="83">
        <v>100</v>
      </c>
      <c r="J92" s="84" t="s">
        <v>394</v>
      </c>
      <c r="K92" s="82"/>
      <c r="L92" s="21" t="str">
        <f>VLOOKUP(IF('ブロック表'!$D$16=9,ゲームNo!$D79,IF('ブロック表'!$D$16=10,ゲームNo!$J79,IF('ブロック表'!$D$16=11,ゲームNo!$P79,ゲームNo!$V79))),'ブロック表'!$A$4:$N$15,7,FALSE)</f>
        <v>田附 裕次</v>
      </c>
      <c r="M92" s="72" t="str">
        <f>VLOOKUP(IF('ブロック表'!$D$16=9,ゲームNo!$D79,IF('ブロック表'!$D$16=10,ゲームNo!$J79,IF('ブロック表'!$D$16=11,ゲームNo!$P79,ゲームNo!$V79))),'ブロック表'!$A$4:$C$15,3,FALSE)</f>
        <v>京都</v>
      </c>
    </row>
    <row r="93" spans="1:13" ht="13.5" customHeight="1">
      <c r="A93" s="98">
        <v>78</v>
      </c>
      <c r="B93" s="70">
        <v>16</v>
      </c>
      <c r="C93" s="132">
        <v>3</v>
      </c>
      <c r="D93" s="104" t="str">
        <f t="shared" si="2"/>
        <v>京都野田 絢也</v>
      </c>
      <c r="E93" s="104" t="str">
        <f t="shared" si="3"/>
        <v>愛知佐藤 雄吾</v>
      </c>
      <c r="F93" s="71" t="str">
        <f>VLOOKUP(IF('ブロック表'!$D$16=9,ゲームNo!$C80,IF('ブロック表'!$D$16=10,ゲームNo!$I80,IF('ブロック表'!$D$16=11,ゲームNo!$O80,ゲームNo!$U80))),'ブロック表'!$A$4:$C$15,3,FALSE)</f>
        <v>愛知</v>
      </c>
      <c r="G93" s="15" t="str">
        <f>VLOOKUP(IF('ブロック表'!$D$16=9,ゲームNo!$C80,IF('ブロック表'!$D$16=10,ゲームNo!$I80,IF('ブロック表'!$D$16=11,ゲームNo!$O80,ゲームNo!$U80))),'ブロック表'!$A$4:$N$15,9,FALSE)</f>
        <v>野田 絢也</v>
      </c>
      <c r="H93" s="82"/>
      <c r="I93" s="83" t="s">
        <v>394</v>
      </c>
      <c r="J93" s="84">
        <v>105</v>
      </c>
      <c r="K93" s="82"/>
      <c r="L93" s="21" t="str">
        <f>VLOOKUP(IF('ブロック表'!$D$16=9,ゲームNo!$D80,IF('ブロック表'!$D$16=10,ゲームNo!$J80,IF('ブロック表'!$D$16=11,ゲームNo!$P80,ゲームNo!$V80))),'ブロック表'!$A$4:$N$15,9,FALSE)</f>
        <v>佐藤 雄吾</v>
      </c>
      <c r="M93" s="72" t="str">
        <f>VLOOKUP(IF('ブロック表'!$D$16=9,ゲームNo!$D80,IF('ブロック表'!$D$16=10,ゲームNo!$J80,IF('ブロック表'!$D$16=11,ゲームNo!$P80,ゲームNo!$V80))),'ブロック表'!$A$4:$C$15,3,FALSE)</f>
        <v>京都</v>
      </c>
    </row>
    <row r="94" spans="1:13" ht="13.5" customHeight="1">
      <c r="A94" s="98">
        <v>79</v>
      </c>
      <c r="B94" s="70">
        <v>16</v>
      </c>
      <c r="C94" s="132">
        <v>4</v>
      </c>
      <c r="D94" s="104" t="str">
        <f t="shared" si="2"/>
        <v>京都近藤 智靖</v>
      </c>
      <c r="E94" s="104" t="str">
        <f t="shared" si="3"/>
        <v>愛知加藤 秀万</v>
      </c>
      <c r="F94" s="71" t="str">
        <f>VLOOKUP(IF('ブロック表'!$D$16=9,ゲームNo!$C81,IF('ブロック表'!$D$16=10,ゲームNo!$I81,IF('ブロック表'!$D$16=11,ゲームNo!$O81,ゲームNo!$U81))),'ブロック表'!$A$4:$C$15,3,FALSE)</f>
        <v>愛知</v>
      </c>
      <c r="G94" s="15" t="str">
        <f>VLOOKUP(IF('ブロック表'!$D$16=9,ゲームNo!$C81,IF('ブロック表'!$D$16=10,ゲームNo!$I81,IF('ブロック表'!$D$16=11,ゲームNo!$O81,ゲームNo!$U81))),'ブロック表'!$A$4:$N$15,11,FALSE)</f>
        <v>近藤 智靖</v>
      </c>
      <c r="H94" s="82"/>
      <c r="I94" s="83" t="s">
        <v>394</v>
      </c>
      <c r="J94" s="84">
        <v>81</v>
      </c>
      <c r="K94" s="82"/>
      <c r="L94" s="21" t="str">
        <f>VLOOKUP(IF('ブロック表'!$D$16=9,ゲームNo!$D81,IF('ブロック表'!$D$16=10,ゲームNo!$J81,IF('ブロック表'!$D$16=11,ゲームNo!$P81,ゲームNo!$V81))),'ブロック表'!$A$4:$N$15,11,FALSE)</f>
        <v>加藤 秀万</v>
      </c>
      <c r="M94" s="72" t="str">
        <f>VLOOKUP(IF('ブロック表'!$D$16=9,ゲームNo!$D81,IF('ブロック表'!$D$16=10,ゲームNo!$J81,IF('ブロック表'!$D$16=11,ゲームNo!$P81,ゲームNo!$V81))),'ブロック表'!$A$4:$C$15,3,FALSE)</f>
        <v>京都</v>
      </c>
    </row>
    <row r="95" spans="1:13" ht="14.25" customHeight="1">
      <c r="A95" s="99">
        <v>80</v>
      </c>
      <c r="B95" s="73">
        <v>16</v>
      </c>
      <c r="C95" s="133">
        <v>5</v>
      </c>
      <c r="D95" s="105" t="str">
        <f t="shared" si="2"/>
        <v>京都島田 隆嗣</v>
      </c>
      <c r="E95" s="105" t="str">
        <f t="shared" si="3"/>
        <v>愛知山下 直生</v>
      </c>
      <c r="F95" s="74" t="str">
        <f>VLOOKUP(IF('ブロック表'!$D$16=9,ゲームNo!$C82,IF('ブロック表'!$D$16=10,ゲームNo!$I82,IF('ブロック表'!$D$16=11,ゲームNo!$O82,ゲームNo!$U82))),'ブロック表'!$A$4:$C$15,3,FALSE)</f>
        <v>愛知</v>
      </c>
      <c r="G95" s="17" t="str">
        <f>VLOOKUP(IF('ブロック表'!$D$16=9,ゲームNo!$C82,IF('ブロック表'!$D$16=10,ゲームNo!$I82,IF('ブロック表'!$D$16=11,ゲームNo!$O82,ゲームNo!$U82))),'ブロック表'!$A$4:$N$15,13,FALSE)</f>
        <v>島田 隆嗣</v>
      </c>
      <c r="H95" s="85" t="s">
        <v>399</v>
      </c>
      <c r="I95" s="86" t="s">
        <v>394</v>
      </c>
      <c r="J95" s="87">
        <v>0</v>
      </c>
      <c r="K95" s="85"/>
      <c r="L95" s="22" t="str">
        <f>VLOOKUP(IF('ブロック表'!$D$16=9,ゲームNo!$D82,IF('ブロック表'!$D$16=10,ゲームNo!$J82,IF('ブロック表'!$D$16=11,ゲームNo!$P82,ゲームNo!$V82))),'ブロック表'!$A$4:$N$15,13,FALSE)</f>
        <v>山下 直生</v>
      </c>
      <c r="M95" s="75" t="str">
        <f>VLOOKUP(IF('ブロック表'!$D$16=9,ゲームNo!$D82,IF('ブロック表'!$D$16=10,ゲームNo!$J82,IF('ブロック表'!$D$16=11,ゲームNo!$P82,ゲームNo!$V82))),'ブロック表'!$A$4:$C$15,3,FALSE)</f>
        <v>京都</v>
      </c>
    </row>
    <row r="96" spans="1:13" ht="13.5" customHeight="1">
      <c r="A96" s="97">
        <v>81</v>
      </c>
      <c r="B96" s="92">
        <v>17</v>
      </c>
      <c r="C96" s="131">
        <v>1</v>
      </c>
      <c r="D96" s="106" t="str">
        <f t="shared" si="2"/>
        <v>大阪A由本 拓</v>
      </c>
      <c r="E96" s="106" t="str">
        <f t="shared" si="3"/>
        <v>大阪B村上 泰辰</v>
      </c>
      <c r="F96" s="76" t="str">
        <f>VLOOKUP(IF('ブロック表'!$D$16=9,ゲームNo!$C83,IF('ブロック表'!$D$16=10,ゲームNo!$I83,IF('ブロック表'!$D$16=11,ゲームNo!$O83,ゲームNo!$U83))),'ブロック表'!$A$4:$C$15,3,FALSE)</f>
        <v>大阪B</v>
      </c>
      <c r="G96" s="19" t="str">
        <f>VLOOKUP(IF('ブロック表'!$D$16=9,ゲームNo!$C83,IF('ブロック表'!$D$16=10,ゲームNo!$I83,IF('ブロック表'!$D$16=11,ゲームNo!$O83,ゲームNo!$U83))),'ブロック表'!$A$4:$N$15,5,FALSE)</f>
        <v>由本 拓</v>
      </c>
      <c r="H96" s="88"/>
      <c r="I96" s="89">
        <v>43</v>
      </c>
      <c r="J96" s="90" t="s">
        <v>394</v>
      </c>
      <c r="K96" s="88"/>
      <c r="L96" s="20" t="str">
        <f>VLOOKUP(IF('ブロック表'!$D$16=9,ゲームNo!$D83,IF('ブロック表'!$D$16=10,ゲームNo!$J83,IF('ブロック表'!$D$16=11,ゲームNo!$P83,ゲームNo!$V83))),'ブロック表'!$A$4:$N$15,5,FALSE)</f>
        <v>村上 泰辰</v>
      </c>
      <c r="M96" s="93" t="str">
        <f>VLOOKUP(IF('ブロック表'!$D$16=9,ゲームNo!$D83,IF('ブロック表'!$D$16=10,ゲームNo!$J83,IF('ブロック表'!$D$16=11,ゲームNo!$P83,ゲームNo!$V83))),'ブロック表'!$A$4:$C$15,3,FALSE)</f>
        <v>大阪A</v>
      </c>
    </row>
    <row r="97" spans="1:13" ht="13.5" customHeight="1">
      <c r="A97" s="98">
        <v>82</v>
      </c>
      <c r="B97" s="70">
        <v>17</v>
      </c>
      <c r="C97" s="132">
        <v>2</v>
      </c>
      <c r="D97" s="104" t="str">
        <f t="shared" si="2"/>
        <v>大阪A西田 恵子</v>
      </c>
      <c r="E97" s="104" t="str">
        <f t="shared" si="3"/>
        <v>大阪B山岡 修二</v>
      </c>
      <c r="F97" s="71" t="str">
        <f>VLOOKUP(IF('ブロック表'!$D$16=9,ゲームNo!$C84,IF('ブロック表'!$D$16=10,ゲームNo!$I84,IF('ブロック表'!$D$16=11,ゲームNo!$O84,ゲームNo!$U84))),'ブロック表'!$A$4:$C$15,3,FALSE)</f>
        <v>大阪B</v>
      </c>
      <c r="G97" s="15" t="str">
        <f>VLOOKUP(IF('ブロック表'!$D$16=9,ゲームNo!$C84,IF('ブロック表'!$D$16=10,ゲームNo!$I84,IF('ブロック表'!$D$16=11,ゲームNo!$O84,ゲームNo!$U84))),'ブロック表'!$A$4:$N$15,7,FALSE)</f>
        <v>西田 恵子</v>
      </c>
      <c r="H97" s="82"/>
      <c r="I97" s="83">
        <v>109</v>
      </c>
      <c r="J97" s="84" t="s">
        <v>394</v>
      </c>
      <c r="K97" s="82"/>
      <c r="L97" s="21" t="str">
        <f>VLOOKUP(IF('ブロック表'!$D$16=9,ゲームNo!$D84,IF('ブロック表'!$D$16=10,ゲームNo!$J84,IF('ブロック表'!$D$16=11,ゲームNo!$P84,ゲームNo!$V84))),'ブロック表'!$A$4:$N$15,7,FALSE)</f>
        <v>山岡 修二</v>
      </c>
      <c r="M97" s="72" t="str">
        <f>VLOOKUP(IF('ブロック表'!$D$16=9,ゲームNo!$D84,IF('ブロック表'!$D$16=10,ゲームNo!$J84,IF('ブロック表'!$D$16=11,ゲームNo!$P84,ゲームNo!$V84))),'ブロック表'!$A$4:$C$15,3,FALSE)</f>
        <v>大阪A</v>
      </c>
    </row>
    <row r="98" spans="1:13" ht="13.5" customHeight="1">
      <c r="A98" s="98">
        <v>83</v>
      </c>
      <c r="B98" s="70">
        <v>17</v>
      </c>
      <c r="C98" s="132">
        <v>3</v>
      </c>
      <c r="D98" s="104" t="str">
        <f t="shared" si="2"/>
        <v>大阪A野村 宗司</v>
      </c>
      <c r="E98" s="104" t="str">
        <f t="shared" si="3"/>
        <v>大阪B吉岡 保俊</v>
      </c>
      <c r="F98" s="71" t="str">
        <f>VLOOKUP(IF('ブロック表'!$D$16=9,ゲームNo!$C85,IF('ブロック表'!$D$16=10,ゲームNo!$I85,IF('ブロック表'!$D$16=11,ゲームNo!$O85,ゲームNo!$U85))),'ブロック表'!$A$4:$C$15,3,FALSE)</f>
        <v>大阪B</v>
      </c>
      <c r="G98" s="15" t="str">
        <f>VLOOKUP(IF('ブロック表'!$D$16=9,ゲームNo!$C85,IF('ブロック表'!$D$16=10,ゲームNo!$I85,IF('ブロック表'!$D$16=11,ゲームNo!$O85,ゲームNo!$U85))),'ブロック表'!$A$4:$N$15,9,FALSE)</f>
        <v>野村 宗司</v>
      </c>
      <c r="H98" s="82"/>
      <c r="I98" s="83">
        <v>26</v>
      </c>
      <c r="J98" s="84" t="s">
        <v>394</v>
      </c>
      <c r="K98" s="82">
        <v>109</v>
      </c>
      <c r="L98" s="21" t="str">
        <f>VLOOKUP(IF('ブロック表'!$D$16=9,ゲームNo!$D85,IF('ブロック表'!$D$16=10,ゲームNo!$J85,IF('ブロック表'!$D$16=11,ゲームNo!$P85,ゲームNo!$V85))),'ブロック表'!$A$4:$N$15,9,FALSE)</f>
        <v>吉岡 保俊</v>
      </c>
      <c r="M98" s="72" t="str">
        <f>VLOOKUP(IF('ブロック表'!$D$16=9,ゲームNo!$D85,IF('ブロック表'!$D$16=10,ゲームNo!$J85,IF('ブロック表'!$D$16=11,ゲームNo!$P85,ゲームNo!$V85))),'ブロック表'!$A$4:$C$15,3,FALSE)</f>
        <v>大阪A</v>
      </c>
    </row>
    <row r="99" spans="1:13" ht="13.5" customHeight="1">
      <c r="A99" s="98">
        <v>84</v>
      </c>
      <c r="B99" s="70">
        <v>17</v>
      </c>
      <c r="C99" s="132">
        <v>4</v>
      </c>
      <c r="D99" s="104" t="str">
        <f t="shared" si="2"/>
        <v>大阪A山崎 真紀子</v>
      </c>
      <c r="E99" s="104" t="str">
        <f t="shared" si="3"/>
        <v>大阪B乾 伸綱</v>
      </c>
      <c r="F99" s="71" t="str">
        <f>VLOOKUP(IF('ブロック表'!$D$16=9,ゲームNo!$C86,IF('ブロック表'!$D$16=10,ゲームNo!$I86,IF('ブロック表'!$D$16=11,ゲームNo!$O86,ゲームNo!$U86))),'ブロック表'!$A$4:$C$15,3,FALSE)</f>
        <v>大阪B</v>
      </c>
      <c r="G99" s="15" t="str">
        <f>VLOOKUP(IF('ブロック表'!$D$16=9,ゲームNo!$C86,IF('ブロック表'!$D$16=10,ゲームNo!$I86,IF('ブロック表'!$D$16=11,ゲームNo!$O86,ゲームNo!$U86))),'ブロック表'!$A$4:$N$15,11,FALSE)</f>
        <v>山崎 真紀子</v>
      </c>
      <c r="H99" s="82"/>
      <c r="I99" s="83">
        <v>15</v>
      </c>
      <c r="J99" s="84" t="s">
        <v>394</v>
      </c>
      <c r="K99" s="82"/>
      <c r="L99" s="21" t="str">
        <f>VLOOKUP(IF('ブロック表'!$D$16=9,ゲームNo!$D86,IF('ブロック表'!$D$16=10,ゲームNo!$J86,IF('ブロック表'!$D$16=11,ゲームNo!$P86,ゲームNo!$V86))),'ブロック表'!$A$4:$N$15,11,FALSE)</f>
        <v>乾 伸綱</v>
      </c>
      <c r="M99" s="72" t="str">
        <f>VLOOKUP(IF('ブロック表'!$D$16=9,ゲームNo!$D86,IF('ブロック表'!$D$16=10,ゲームNo!$J86,IF('ブロック表'!$D$16=11,ゲームNo!$P86,ゲームNo!$V86))),'ブロック表'!$A$4:$C$15,3,FALSE)</f>
        <v>大阪A</v>
      </c>
    </row>
    <row r="100" spans="1:13" ht="14.25" customHeight="1">
      <c r="A100" s="99">
        <v>85</v>
      </c>
      <c r="B100" s="73">
        <v>17</v>
      </c>
      <c r="C100" s="133">
        <v>5</v>
      </c>
      <c r="D100" s="105" t="str">
        <f t="shared" si="2"/>
        <v>大阪A小森 雅昭</v>
      </c>
      <c r="E100" s="105" t="str">
        <f t="shared" si="3"/>
        <v>大阪B山田 玄英</v>
      </c>
      <c r="F100" s="74" t="str">
        <f>VLOOKUP(IF('ブロック表'!$D$16=9,ゲームNo!$C87,IF('ブロック表'!$D$16=10,ゲームNo!$I87,IF('ブロック表'!$D$16=11,ゲームNo!$O87,ゲームNo!$U87))),'ブロック表'!$A$4:$C$15,3,FALSE)</f>
        <v>大阪B</v>
      </c>
      <c r="G100" s="17" t="str">
        <f>VLOOKUP(IF('ブロック表'!$D$16=9,ゲームNo!$C87,IF('ブロック表'!$D$16=10,ゲームNo!$I87,IF('ブロック表'!$D$16=11,ゲームNo!$O87,ゲームNo!$U87))),'ブロック表'!$A$4:$N$15,13,FALSE)</f>
        <v>小森 雅昭</v>
      </c>
      <c r="H100" s="85"/>
      <c r="I100" s="86">
        <v>90</v>
      </c>
      <c r="J100" s="87" t="s">
        <v>394</v>
      </c>
      <c r="K100" s="85"/>
      <c r="L100" s="22" t="str">
        <f>VLOOKUP(IF('ブロック表'!$D$16=9,ゲームNo!$D87,IF('ブロック表'!$D$16=10,ゲームNo!$J87,IF('ブロック表'!$D$16=11,ゲームNo!$P87,ゲームNo!$V87))),'ブロック表'!$A$4:$N$15,13,FALSE)</f>
        <v>山田 玄英</v>
      </c>
      <c r="M100" s="75" t="str">
        <f>VLOOKUP(IF('ブロック表'!$D$16=9,ゲームNo!$D87,IF('ブロック表'!$D$16=10,ゲームNo!$J87,IF('ブロック表'!$D$16=11,ゲームNo!$P87,ゲームNo!$V87))),'ブロック表'!$A$4:$C$15,3,FALSE)</f>
        <v>大阪A</v>
      </c>
    </row>
    <row r="101" spans="1:13" ht="13.5" customHeight="1">
      <c r="A101" s="223">
        <v>86</v>
      </c>
      <c r="B101" s="70">
        <v>18</v>
      </c>
      <c r="C101" s="224">
        <v>1</v>
      </c>
      <c r="D101" s="104" t="str">
        <f t="shared" si="2"/>
        <v>和歌山木村 隼人</v>
      </c>
      <c r="E101" s="104" t="str">
        <f t="shared" si="3"/>
        <v>岐阜岸上 賢一</v>
      </c>
      <c r="F101" s="225" t="str">
        <f>VLOOKUP(IF('ブロック表'!$D$16=9,ゲームNo!$C88,IF('ブロック表'!$D$16=10,ゲームNo!$I88,IF('ブロック表'!$D$16=11,ゲームNo!$O88,ゲームNo!$U88))),'ブロック表'!$A$4:$C$15,3,FALSE)</f>
        <v>岐阜</v>
      </c>
      <c r="G101" s="226" t="str">
        <f>VLOOKUP(IF('ブロック表'!$D$16=9,ゲームNo!$C88,IF('ブロック表'!$D$16=10,ゲームNo!$I88,IF('ブロック表'!$D$16=11,ゲームNo!$O88,ゲームNo!$U88))),'ブロック表'!$A$4:$N$15,5,FALSE)</f>
        <v>木村 隼人</v>
      </c>
      <c r="H101" s="227"/>
      <c r="I101" s="228">
        <v>81</v>
      </c>
      <c r="J101" s="229" t="s">
        <v>394</v>
      </c>
      <c r="K101" s="227"/>
      <c r="L101" s="230" t="str">
        <f>VLOOKUP(IF('ブロック表'!$D$16=9,ゲームNo!$D88,IF('ブロック表'!$D$16=10,ゲームNo!$J88,IF('ブロック表'!$D$16=11,ゲームNo!$P88,ゲームNo!$V88))),'ブロック表'!$A$4:$N$15,5,FALSE)</f>
        <v>岸上 賢一</v>
      </c>
      <c r="M101" s="231" t="str">
        <f>VLOOKUP(IF('ブロック表'!$D$16=9,ゲームNo!$D88,IF('ブロック表'!$D$16=10,ゲームNo!$J88,IF('ブロック表'!$D$16=11,ゲームNo!$P88,ゲームNo!$V88))),'ブロック表'!$A$4:$C$15,3,FALSE)</f>
        <v>和歌山</v>
      </c>
    </row>
    <row r="102" spans="1:13" ht="13.5" customHeight="1">
      <c r="A102" s="98">
        <v>87</v>
      </c>
      <c r="B102" s="70">
        <v>18</v>
      </c>
      <c r="C102" s="132">
        <v>2</v>
      </c>
      <c r="D102" s="104" t="str">
        <f t="shared" si="2"/>
        <v>和歌山辻 和美</v>
      </c>
      <c r="E102" s="104" t="str">
        <f t="shared" si="3"/>
        <v>岐阜末岡 修</v>
      </c>
      <c r="F102" s="71" t="str">
        <f>VLOOKUP(IF('ブロック表'!$D$16=9,ゲームNo!$C89,IF('ブロック表'!$D$16=10,ゲームNo!$I89,IF('ブロック表'!$D$16=11,ゲームNo!$O89,ゲームNo!$U89))),'ブロック表'!$A$4:$C$15,3,FALSE)</f>
        <v>岐阜</v>
      </c>
      <c r="G102" s="15" t="str">
        <f>VLOOKUP(IF('ブロック表'!$D$16=9,ゲームNo!$C89,IF('ブロック表'!$D$16=10,ゲームNo!$I89,IF('ブロック表'!$D$16=11,ゲームNo!$O89,ゲームNo!$U89))),'ブロック表'!$A$4:$N$15,7,FALSE)</f>
        <v>辻 和美</v>
      </c>
      <c r="H102" s="82"/>
      <c r="I102" s="83">
        <v>70</v>
      </c>
      <c r="J102" s="84" t="s">
        <v>394</v>
      </c>
      <c r="K102" s="82"/>
      <c r="L102" s="21" t="str">
        <f>VLOOKUP(IF('ブロック表'!$D$16=9,ゲームNo!$D89,IF('ブロック表'!$D$16=10,ゲームNo!$J89,IF('ブロック表'!$D$16=11,ゲームNo!$P89,ゲームNo!$V89))),'ブロック表'!$A$4:$N$15,7,FALSE)</f>
        <v>末岡 修</v>
      </c>
      <c r="M102" s="72" t="str">
        <f>VLOOKUP(IF('ブロック表'!$D$16=9,ゲームNo!$D89,IF('ブロック表'!$D$16=10,ゲームNo!$J89,IF('ブロック表'!$D$16=11,ゲームNo!$P89,ゲームNo!$V89))),'ブロック表'!$A$4:$C$15,3,FALSE)</f>
        <v>和歌山</v>
      </c>
    </row>
    <row r="103" spans="1:13" ht="13.5" customHeight="1">
      <c r="A103" s="98">
        <v>88</v>
      </c>
      <c r="B103" s="70">
        <v>18</v>
      </c>
      <c r="C103" s="132">
        <v>3</v>
      </c>
      <c r="D103" s="104" t="str">
        <f t="shared" si="2"/>
        <v>和歌山徳永 修児</v>
      </c>
      <c r="E103" s="104" t="str">
        <f t="shared" si="3"/>
        <v>岐阜杉本 博章</v>
      </c>
      <c r="F103" s="71" t="str">
        <f>VLOOKUP(IF('ブロック表'!$D$16=9,ゲームNo!$C90,IF('ブロック表'!$D$16=10,ゲームNo!$I90,IF('ブロック表'!$D$16=11,ゲームNo!$O90,ゲームNo!$U90))),'ブロック表'!$A$4:$C$15,3,FALSE)</f>
        <v>岐阜</v>
      </c>
      <c r="G103" s="15" t="str">
        <f>VLOOKUP(IF('ブロック表'!$D$16=9,ゲームNo!$C90,IF('ブロック表'!$D$16=10,ゲームNo!$I90,IF('ブロック表'!$D$16=11,ゲームNo!$O90,ゲームNo!$U90))),'ブロック表'!$A$4:$N$15,9,FALSE)</f>
        <v>徳永 修児</v>
      </c>
      <c r="H103" s="82"/>
      <c r="I103" s="83">
        <v>6</v>
      </c>
      <c r="J103" s="84" t="s">
        <v>394</v>
      </c>
      <c r="K103" s="82">
        <v>123</v>
      </c>
      <c r="L103" s="21" t="str">
        <f>VLOOKUP(IF('ブロック表'!$D$16=9,ゲームNo!$D90,IF('ブロック表'!$D$16=10,ゲームNo!$J90,IF('ブロック表'!$D$16=11,ゲームNo!$P90,ゲームNo!$V90))),'ブロック表'!$A$4:$N$15,9,FALSE)</f>
        <v>杉本 博章</v>
      </c>
      <c r="M103" s="72" t="str">
        <f>VLOOKUP(IF('ブロック表'!$D$16=9,ゲームNo!$D90,IF('ブロック表'!$D$16=10,ゲームNo!$J90,IF('ブロック表'!$D$16=11,ゲームNo!$P90,ゲームNo!$V90))),'ブロック表'!$A$4:$C$15,3,FALSE)</f>
        <v>和歌山</v>
      </c>
    </row>
    <row r="104" spans="1:13" ht="13.5" customHeight="1">
      <c r="A104" s="98">
        <v>89</v>
      </c>
      <c r="B104" s="70">
        <v>18</v>
      </c>
      <c r="C104" s="132">
        <v>4</v>
      </c>
      <c r="D104" s="104" t="str">
        <f t="shared" si="2"/>
        <v>和歌山高橋 浩之</v>
      </c>
      <c r="E104" s="104" t="str">
        <f t="shared" si="3"/>
        <v>岐阜丹次 力良</v>
      </c>
      <c r="F104" s="71" t="str">
        <f>VLOOKUP(IF('ブロック表'!$D$16=9,ゲームNo!$C91,IF('ブロック表'!$D$16=10,ゲームNo!$I91,IF('ブロック表'!$D$16=11,ゲームNo!$O91,ゲームNo!$U91))),'ブロック表'!$A$4:$C$15,3,FALSE)</f>
        <v>岐阜</v>
      </c>
      <c r="G104" s="15" t="str">
        <f>VLOOKUP(IF('ブロック表'!$D$16=9,ゲームNo!$C91,IF('ブロック表'!$D$16=10,ゲームNo!$I91,IF('ブロック表'!$D$16=11,ゲームNo!$O91,ゲームNo!$U91))),'ブロック表'!$A$4:$N$15,11,FALSE)</f>
        <v>高橋 浩之</v>
      </c>
      <c r="H104" s="82"/>
      <c r="I104" s="83" t="s">
        <v>394</v>
      </c>
      <c r="J104" s="84">
        <v>116</v>
      </c>
      <c r="K104" s="82"/>
      <c r="L104" s="21" t="str">
        <f>VLOOKUP(IF('ブロック表'!$D$16=9,ゲームNo!$D91,IF('ブロック表'!$D$16=10,ゲームNo!$J91,IF('ブロック表'!$D$16=11,ゲームNo!$P91,ゲームNo!$V91))),'ブロック表'!$A$4:$N$15,11,FALSE)</f>
        <v>丹次 力良</v>
      </c>
      <c r="M104" s="72" t="str">
        <f>VLOOKUP(IF('ブロック表'!$D$16=9,ゲームNo!$D91,IF('ブロック表'!$D$16=10,ゲームNo!$J91,IF('ブロック表'!$D$16=11,ゲームNo!$P91,ゲームNo!$V91))),'ブロック表'!$A$4:$C$15,3,FALSE)</f>
        <v>和歌山</v>
      </c>
    </row>
    <row r="105" spans="1:13" ht="14.25" customHeight="1">
      <c r="A105" s="99">
        <v>90</v>
      </c>
      <c r="B105" s="73">
        <v>18</v>
      </c>
      <c r="C105" s="133">
        <v>5</v>
      </c>
      <c r="D105" s="105" t="str">
        <f t="shared" si="2"/>
        <v>和歌山野原 朋和</v>
      </c>
      <c r="E105" s="105" t="str">
        <f t="shared" si="3"/>
        <v>岐阜和田 宗一郎</v>
      </c>
      <c r="F105" s="74" t="str">
        <f>VLOOKUP(IF('ブロック表'!$D$16=9,ゲームNo!$C92,IF('ブロック表'!$D$16=10,ゲームNo!$I92,IF('ブロック表'!$D$16=11,ゲームNo!$O92,ゲームNo!$U92))),'ブロック表'!$A$4:$C$15,3,FALSE)</f>
        <v>岐阜</v>
      </c>
      <c r="G105" s="17" t="str">
        <f>VLOOKUP(IF('ブロック表'!$D$16=9,ゲームNo!$C92,IF('ブロック表'!$D$16=10,ゲームNo!$I92,IF('ブロック表'!$D$16=11,ゲームNo!$O92,ゲームNo!$U92))),'ブロック表'!$A$4:$N$15,13,FALSE)</f>
        <v>野原 朋和</v>
      </c>
      <c r="H105" s="85"/>
      <c r="I105" s="86" t="s">
        <v>394</v>
      </c>
      <c r="J105" s="87">
        <v>98</v>
      </c>
      <c r="K105" s="85"/>
      <c r="L105" s="22" t="str">
        <f>VLOOKUP(IF('ブロック表'!$D$16=9,ゲームNo!$D92,IF('ブロック表'!$D$16=10,ゲームNo!$J92,IF('ブロック表'!$D$16=11,ゲームNo!$P92,ゲームNo!$V92))),'ブロック表'!$A$4:$N$15,13,FALSE)</f>
        <v>和田 宗一郎</v>
      </c>
      <c r="M105" s="75" t="str">
        <f>VLOOKUP(IF('ブロック表'!$D$16=9,ゲームNo!$D92,IF('ブロック表'!$D$16=10,ゲームNo!$J92,IF('ブロック表'!$D$16=11,ゲームNo!$P92,ゲームNo!$V92))),'ブロック表'!$A$4:$C$15,3,FALSE)</f>
        <v>和歌山</v>
      </c>
    </row>
    <row r="106" spans="1:13" ht="13.5" customHeight="1">
      <c r="A106" s="97">
        <v>91</v>
      </c>
      <c r="B106" s="92">
        <v>19</v>
      </c>
      <c r="C106" s="131">
        <v>1</v>
      </c>
      <c r="D106" s="106" t="str">
        <f t="shared" si="2"/>
        <v>滋賀水野 憲一</v>
      </c>
      <c r="E106" s="106" t="str">
        <f t="shared" si="3"/>
        <v>三重酒井 美希</v>
      </c>
      <c r="F106" s="76" t="str">
        <f>VLOOKUP(IF('ブロック表'!$D$16=9,ゲームNo!$C93,IF('ブロック表'!$D$16=10,ゲームNo!$I93,IF('ブロック表'!$D$16=11,ゲームNo!$O93,ゲームNo!$U93))),'ブロック表'!$A$4:$C$15,3,FALSE)</f>
        <v>三重</v>
      </c>
      <c r="G106" s="19" t="str">
        <f>VLOOKUP(IF('ブロック表'!$D$16=9,ゲームNo!$C93,IF('ブロック表'!$D$16=10,ゲームNo!$I93,IF('ブロック表'!$D$16=11,ゲームNo!$O93,ゲームNo!$U93))),'ブロック表'!$A$4:$N$15,5,FALSE)</f>
        <v>水野 憲一</v>
      </c>
      <c r="H106" s="88"/>
      <c r="I106" s="89" t="s">
        <v>394</v>
      </c>
      <c r="J106" s="90">
        <v>51</v>
      </c>
      <c r="K106" s="88"/>
      <c r="L106" s="20" t="str">
        <f>VLOOKUP(IF('ブロック表'!$D$16=9,ゲームNo!$D93,IF('ブロック表'!$D$16=10,ゲームNo!$J93,IF('ブロック表'!$D$16=11,ゲームNo!$P93,ゲームNo!$V93))),'ブロック表'!$A$4:$N$15,5,FALSE)</f>
        <v>酒井 美希</v>
      </c>
      <c r="M106" s="93" t="str">
        <f>VLOOKUP(IF('ブロック表'!$D$16=9,ゲームNo!$D93,IF('ブロック表'!$D$16=10,ゲームNo!$J93,IF('ブロック表'!$D$16=11,ゲームNo!$P93,ゲームNo!$V93))),'ブロック表'!$A$4:$C$15,3,FALSE)</f>
        <v>滋賀</v>
      </c>
    </row>
    <row r="107" spans="1:13" ht="13.5" customHeight="1">
      <c r="A107" s="98">
        <v>92</v>
      </c>
      <c r="B107" s="70">
        <v>19</v>
      </c>
      <c r="C107" s="132">
        <v>2</v>
      </c>
      <c r="D107" s="104" t="str">
        <f t="shared" si="2"/>
        <v>滋賀市川 裕貴</v>
      </c>
      <c r="E107" s="104" t="str">
        <f t="shared" si="3"/>
        <v>三重大橋 義治</v>
      </c>
      <c r="F107" s="71" t="str">
        <f>VLOOKUP(IF('ブロック表'!$D$16=9,ゲームNo!$C94,IF('ブロック表'!$D$16=10,ゲームNo!$I94,IF('ブロック表'!$D$16=11,ゲームNo!$O94,ゲームNo!$U94))),'ブロック表'!$A$4:$C$15,3,FALSE)</f>
        <v>三重</v>
      </c>
      <c r="G107" s="15" t="str">
        <f>VLOOKUP(IF('ブロック表'!$D$16=9,ゲームNo!$C94,IF('ブロック表'!$D$16=10,ゲームNo!$I94,IF('ブロック表'!$D$16=11,ゲームNo!$O94,ゲームNo!$U94))),'ブロック表'!$A$4:$N$15,7,FALSE)</f>
        <v>市川 裕貴</v>
      </c>
      <c r="H107" s="82"/>
      <c r="I107" s="83" t="s">
        <v>394</v>
      </c>
      <c r="J107" s="84">
        <v>0</v>
      </c>
      <c r="K107" s="82"/>
      <c r="L107" s="21" t="str">
        <f>VLOOKUP(IF('ブロック表'!$D$16=9,ゲームNo!$D94,IF('ブロック表'!$D$16=10,ゲームNo!$J94,IF('ブロック表'!$D$16=11,ゲームNo!$P94,ゲームNo!$V94))),'ブロック表'!$A$4:$N$15,7,FALSE)</f>
        <v>大橋 義治</v>
      </c>
      <c r="M107" s="72" t="str">
        <f>VLOOKUP(IF('ブロック表'!$D$16=9,ゲームNo!$D94,IF('ブロック表'!$D$16=10,ゲームNo!$J94,IF('ブロック表'!$D$16=11,ゲームNo!$P94,ゲームNo!$V94))),'ブロック表'!$A$4:$C$15,3,FALSE)</f>
        <v>滋賀</v>
      </c>
    </row>
    <row r="108" spans="1:13" ht="13.5" customHeight="1">
      <c r="A108" s="98">
        <v>93</v>
      </c>
      <c r="B108" s="70">
        <v>19</v>
      </c>
      <c r="C108" s="132">
        <v>3</v>
      </c>
      <c r="D108" s="104" t="str">
        <f t="shared" si="2"/>
        <v>滋賀黒宮 健二</v>
      </c>
      <c r="E108" s="104" t="str">
        <f t="shared" si="3"/>
        <v>三重西峰 久祐</v>
      </c>
      <c r="F108" s="71" t="str">
        <f>VLOOKUP(IF('ブロック表'!$D$16=9,ゲームNo!$C95,IF('ブロック表'!$D$16=10,ゲームNo!$I95,IF('ブロック表'!$D$16=11,ゲームNo!$O95,ゲームNo!$U95))),'ブロック表'!$A$4:$C$15,3,FALSE)</f>
        <v>三重</v>
      </c>
      <c r="G108" s="15" t="str">
        <f>VLOOKUP(IF('ブロック表'!$D$16=9,ゲームNo!$C95,IF('ブロック表'!$D$16=10,ゲームNo!$I95,IF('ブロック表'!$D$16=11,ゲームNo!$O95,ゲームNo!$U95))),'ブロック表'!$A$4:$N$15,9,FALSE)</f>
        <v>黒宮 健二</v>
      </c>
      <c r="H108" s="82"/>
      <c r="I108" s="83" t="s">
        <v>394</v>
      </c>
      <c r="J108" s="84">
        <v>35</v>
      </c>
      <c r="K108" s="82"/>
      <c r="L108" s="21" t="str">
        <f>VLOOKUP(IF('ブロック表'!$D$16=9,ゲームNo!$D95,IF('ブロック表'!$D$16=10,ゲームNo!$J95,IF('ブロック表'!$D$16=11,ゲームNo!$P95,ゲームNo!$V95))),'ブロック表'!$A$4:$N$15,9,FALSE)</f>
        <v>西峰 久祐</v>
      </c>
      <c r="M108" s="72" t="str">
        <f>VLOOKUP(IF('ブロック表'!$D$16=9,ゲームNo!$D95,IF('ブロック表'!$D$16=10,ゲームNo!$J95,IF('ブロック表'!$D$16=11,ゲームNo!$P95,ゲームNo!$V95))),'ブロック表'!$A$4:$C$15,3,FALSE)</f>
        <v>滋賀</v>
      </c>
    </row>
    <row r="109" spans="1:13" ht="13.5" customHeight="1">
      <c r="A109" s="98">
        <v>94</v>
      </c>
      <c r="B109" s="70">
        <v>19</v>
      </c>
      <c r="C109" s="132">
        <v>4</v>
      </c>
      <c r="D109" s="104" t="str">
        <f t="shared" si="2"/>
        <v>滋賀杉本 諭</v>
      </c>
      <c r="E109" s="104" t="str">
        <f t="shared" si="3"/>
        <v>三重長田 智紀</v>
      </c>
      <c r="F109" s="71" t="str">
        <f>VLOOKUP(IF('ブロック表'!$D$16=9,ゲームNo!$C96,IF('ブロック表'!$D$16=10,ゲームNo!$I96,IF('ブロック表'!$D$16=11,ゲームNo!$O96,ゲームNo!$U96))),'ブロック表'!$A$4:$C$15,3,FALSE)</f>
        <v>三重</v>
      </c>
      <c r="G109" s="15" t="str">
        <f>VLOOKUP(IF('ブロック表'!$D$16=9,ゲームNo!$C96,IF('ブロック表'!$D$16=10,ゲームNo!$I96,IF('ブロック表'!$D$16=11,ゲームNo!$O96,ゲームNo!$U96))),'ブロック表'!$A$4:$N$15,11,FALSE)</f>
        <v>杉本 諭</v>
      </c>
      <c r="H109" s="82"/>
      <c r="I109" s="83">
        <v>93</v>
      </c>
      <c r="J109" s="84" t="s">
        <v>394</v>
      </c>
      <c r="K109" s="82"/>
      <c r="L109" s="21" t="str">
        <f>VLOOKUP(IF('ブロック表'!$D$16=9,ゲームNo!$D96,IF('ブロック表'!$D$16=10,ゲームNo!$J96,IF('ブロック表'!$D$16=11,ゲームNo!$P96,ゲームNo!$V96))),'ブロック表'!$A$4:$N$15,11,FALSE)</f>
        <v>長田 智紀</v>
      </c>
      <c r="M109" s="72" t="str">
        <f>VLOOKUP(IF('ブロック表'!$D$16=9,ゲームNo!$D96,IF('ブロック表'!$D$16=10,ゲームNo!$J96,IF('ブロック表'!$D$16=11,ゲームNo!$P96,ゲームNo!$V96))),'ブロック表'!$A$4:$C$15,3,FALSE)</f>
        <v>滋賀</v>
      </c>
    </row>
    <row r="110" spans="1:13" ht="14.25" customHeight="1">
      <c r="A110" s="99">
        <v>95</v>
      </c>
      <c r="B110" s="73">
        <v>19</v>
      </c>
      <c r="C110" s="133">
        <v>5</v>
      </c>
      <c r="D110" s="105" t="str">
        <f t="shared" si="2"/>
        <v>滋賀森本 英幸</v>
      </c>
      <c r="E110" s="105" t="str">
        <f t="shared" si="3"/>
        <v>三重大橋 正寛</v>
      </c>
      <c r="F110" s="74" t="str">
        <f>VLOOKUP(IF('ブロック表'!$D$16=9,ゲームNo!$C97,IF('ブロック表'!$D$16=10,ゲームNo!$I97,IF('ブロック表'!$D$16=11,ゲームNo!$O97,ゲームNo!$U97))),'ブロック表'!$A$4:$C$15,3,FALSE)</f>
        <v>三重</v>
      </c>
      <c r="G110" s="17" t="str">
        <f>VLOOKUP(IF('ブロック表'!$D$16=9,ゲームNo!$C97,IF('ブロック表'!$D$16=10,ゲームNo!$I97,IF('ブロック表'!$D$16=11,ゲームNo!$O97,ゲームNo!$U97))),'ブロック表'!$A$4:$N$15,13,FALSE)</f>
        <v>森本 英幸</v>
      </c>
      <c r="H110" s="85"/>
      <c r="I110" s="86">
        <v>44</v>
      </c>
      <c r="J110" s="87" t="s">
        <v>394</v>
      </c>
      <c r="K110" s="85"/>
      <c r="L110" s="22" t="str">
        <f>VLOOKUP(IF('ブロック表'!$D$16=9,ゲームNo!$D97,IF('ブロック表'!$D$16=10,ゲームNo!$J97,IF('ブロック表'!$D$16=11,ゲームNo!$P97,ゲームNo!$V97))),'ブロック表'!$A$4:$N$15,13,FALSE)</f>
        <v>大橋 正寛</v>
      </c>
      <c r="M110" s="75" t="str">
        <f>VLOOKUP(IF('ブロック表'!$D$16=9,ゲームNo!$D97,IF('ブロック表'!$D$16=10,ゲームNo!$J97,IF('ブロック表'!$D$16=11,ゲームNo!$P97,ゲームNo!$V97))),'ブロック表'!$A$4:$C$15,3,FALSE)</f>
        <v>滋賀</v>
      </c>
    </row>
    <row r="111" spans="1:13" ht="13.5" customHeight="1">
      <c r="A111" s="97">
        <v>96</v>
      </c>
      <c r="B111" s="92">
        <v>20</v>
      </c>
      <c r="C111" s="131">
        <v>1</v>
      </c>
      <c r="D111" s="106" t="str">
        <f t="shared" si="2"/>
        <v>奈良高木 俊行</v>
      </c>
      <c r="E111" s="106" t="str">
        <f t="shared" si="3"/>
        <v>兵庫岩本 剛</v>
      </c>
      <c r="F111" s="76" t="str">
        <f>VLOOKUP(IF('ブロック表'!$D$16=9,ゲームNo!$C98,IF('ブロック表'!$D$16=10,ゲームNo!$I98,IF('ブロック表'!$D$16=11,ゲームNo!$O98,ゲームNo!$U98))),'ブロック表'!$A$4:$C$15,3,FALSE)</f>
        <v>兵庫</v>
      </c>
      <c r="G111" s="19" t="str">
        <f>VLOOKUP(IF('ブロック表'!$D$16=9,ゲームNo!$C98,IF('ブロック表'!$D$16=10,ゲームNo!$I98,IF('ブロック表'!$D$16=11,ゲームNo!$O98,ゲームNo!$U98))),'ブロック表'!$A$4:$N$15,5,FALSE)</f>
        <v>高木 俊行</v>
      </c>
      <c r="H111" s="88"/>
      <c r="I111" s="89" t="s">
        <v>394</v>
      </c>
      <c r="J111" s="90">
        <v>11</v>
      </c>
      <c r="K111" s="88"/>
      <c r="L111" s="20" t="str">
        <f>VLOOKUP(IF('ブロック表'!$D$16=9,ゲームNo!$D98,IF('ブロック表'!$D$16=10,ゲームNo!$J98,IF('ブロック表'!$D$16=11,ゲームNo!$P98,ゲームNo!$V98))),'ブロック表'!$A$4:$N$15,5,FALSE)</f>
        <v>岩本 剛</v>
      </c>
      <c r="M111" s="93" t="str">
        <f>VLOOKUP(IF('ブロック表'!$D$16=9,ゲームNo!$D98,IF('ブロック表'!$D$16=10,ゲームNo!$J98,IF('ブロック表'!$D$16=11,ゲームNo!$P98,ゲームNo!$V98))),'ブロック表'!$A$4:$C$15,3,FALSE)</f>
        <v>奈良</v>
      </c>
    </row>
    <row r="112" spans="1:13" ht="13.5" customHeight="1">
      <c r="A112" s="98">
        <v>97</v>
      </c>
      <c r="B112" s="70">
        <v>20</v>
      </c>
      <c r="C112" s="132">
        <v>2</v>
      </c>
      <c r="D112" s="104" t="str">
        <f t="shared" si="2"/>
        <v>奈良堂園 雅也</v>
      </c>
      <c r="E112" s="104" t="str">
        <f t="shared" si="3"/>
        <v>兵庫水田 賢宏</v>
      </c>
      <c r="F112" s="71" t="str">
        <f>VLOOKUP(IF('ブロック表'!$D$16=9,ゲームNo!$C99,IF('ブロック表'!$D$16=10,ゲームNo!$I99,IF('ブロック表'!$D$16=11,ゲームNo!$O99,ゲームNo!$U99))),'ブロック表'!$A$4:$C$15,3,FALSE)</f>
        <v>兵庫</v>
      </c>
      <c r="G112" s="15" t="str">
        <f>VLOOKUP(IF('ブロック表'!$D$16=9,ゲームNo!$C99,IF('ブロック表'!$D$16=10,ゲームNo!$I99,IF('ブロック表'!$D$16=11,ゲームNo!$O99,ゲームNo!$U99))),'ブロック表'!$A$4:$N$15,7,FALSE)</f>
        <v>堂園 雅也</v>
      </c>
      <c r="H112" s="82"/>
      <c r="I112" s="83" t="s">
        <v>394</v>
      </c>
      <c r="J112" s="84">
        <v>22</v>
      </c>
      <c r="K112" s="82"/>
      <c r="L112" s="21" t="str">
        <f>VLOOKUP(IF('ブロック表'!$D$16=9,ゲームNo!$D99,IF('ブロック表'!$D$16=10,ゲームNo!$J99,IF('ブロック表'!$D$16=11,ゲームNo!$P99,ゲームNo!$V99))),'ブロック表'!$A$4:$N$15,7,FALSE)</f>
        <v>水田 賢宏</v>
      </c>
      <c r="M112" s="72" t="str">
        <f>VLOOKUP(IF('ブロック表'!$D$16=9,ゲームNo!$D99,IF('ブロック表'!$D$16=10,ゲームNo!$J99,IF('ブロック表'!$D$16=11,ゲームNo!$P99,ゲームNo!$V99))),'ブロック表'!$A$4:$C$15,3,FALSE)</f>
        <v>奈良</v>
      </c>
    </row>
    <row r="113" spans="1:13" ht="13.5" customHeight="1">
      <c r="A113" s="98">
        <v>98</v>
      </c>
      <c r="B113" s="70">
        <v>20</v>
      </c>
      <c r="C113" s="132">
        <v>3</v>
      </c>
      <c r="D113" s="104" t="str">
        <f t="shared" si="2"/>
        <v>奈良森 映智</v>
      </c>
      <c r="E113" s="104" t="str">
        <f t="shared" si="3"/>
        <v>兵庫長谷川 進</v>
      </c>
      <c r="F113" s="71" t="str">
        <f>VLOOKUP(IF('ブロック表'!$D$16=9,ゲームNo!$C100,IF('ブロック表'!$D$16=10,ゲームNo!$I100,IF('ブロック表'!$D$16=11,ゲームNo!$O100,ゲームNo!$U100))),'ブロック表'!$A$4:$C$15,3,FALSE)</f>
        <v>兵庫</v>
      </c>
      <c r="G113" s="15" t="str">
        <f>VLOOKUP(IF('ブロック表'!$D$16=9,ゲームNo!$C100,IF('ブロック表'!$D$16=10,ゲームNo!$I100,IF('ブロック表'!$D$16=11,ゲームNo!$O100,ゲームNo!$U100))),'ブロック表'!$A$4:$N$15,9,FALSE)</f>
        <v>森 映智</v>
      </c>
      <c r="H113" s="82"/>
      <c r="I113" s="83" t="s">
        <v>394</v>
      </c>
      <c r="J113" s="84">
        <v>16</v>
      </c>
      <c r="K113" s="82"/>
      <c r="L113" s="21" t="str">
        <f>VLOOKUP(IF('ブロック表'!$D$16=9,ゲームNo!$D100,IF('ブロック表'!$D$16=10,ゲームNo!$J100,IF('ブロック表'!$D$16=11,ゲームNo!$P100,ゲームNo!$V100))),'ブロック表'!$A$4:$N$15,9,FALSE)</f>
        <v>長谷川 進</v>
      </c>
      <c r="M113" s="72" t="str">
        <f>VLOOKUP(IF('ブロック表'!$D$16=9,ゲームNo!$D100,IF('ブロック表'!$D$16=10,ゲームNo!$J100,IF('ブロック表'!$D$16=11,ゲームNo!$P100,ゲームNo!$V100))),'ブロック表'!$A$4:$C$15,3,FALSE)</f>
        <v>奈良</v>
      </c>
    </row>
    <row r="114" spans="1:13" ht="13.5" customHeight="1">
      <c r="A114" s="98">
        <v>99</v>
      </c>
      <c r="B114" s="70">
        <v>20</v>
      </c>
      <c r="C114" s="132">
        <v>4</v>
      </c>
      <c r="D114" s="104" t="str">
        <f t="shared" si="2"/>
        <v>奈良白澤 雄一郎</v>
      </c>
      <c r="E114" s="104" t="str">
        <f t="shared" si="3"/>
        <v>兵庫植田 慎也</v>
      </c>
      <c r="F114" s="71" t="str">
        <f>VLOOKUP(IF('ブロック表'!$D$16=9,ゲームNo!$C101,IF('ブロック表'!$D$16=10,ゲームNo!$I101,IF('ブロック表'!$D$16=11,ゲームNo!$O101,ゲームNo!$U101))),'ブロック表'!$A$4:$C$15,3,FALSE)</f>
        <v>兵庫</v>
      </c>
      <c r="G114" s="15" t="str">
        <f>VLOOKUP(IF('ブロック表'!$D$16=9,ゲームNo!$C101,IF('ブロック表'!$D$16=10,ゲームNo!$I101,IF('ブロック表'!$D$16=11,ゲームNo!$O101,ゲームNo!$U101))),'ブロック表'!$A$4:$N$15,11,FALSE)</f>
        <v>白澤 雄一郎</v>
      </c>
      <c r="H114" s="82"/>
      <c r="I114" s="83" t="s">
        <v>394</v>
      </c>
      <c r="J114" s="84">
        <v>38</v>
      </c>
      <c r="K114" s="82"/>
      <c r="L114" s="21" t="str">
        <f>VLOOKUP(IF('ブロック表'!$D$16=9,ゲームNo!$D101,IF('ブロック表'!$D$16=10,ゲームNo!$J101,IF('ブロック表'!$D$16=11,ゲームNo!$P101,ゲームNo!$V101))),'ブロック表'!$A$4:$N$15,11,FALSE)</f>
        <v>植田 慎也</v>
      </c>
      <c r="M114" s="72" t="str">
        <f>VLOOKUP(IF('ブロック表'!$D$16=9,ゲームNo!$D101,IF('ブロック表'!$D$16=10,ゲームNo!$J101,IF('ブロック表'!$D$16=11,ゲームNo!$P101,ゲームNo!$V101))),'ブロック表'!$A$4:$C$15,3,FALSE)</f>
        <v>奈良</v>
      </c>
    </row>
    <row r="115" spans="1:13" ht="14.25" customHeight="1">
      <c r="A115" s="99">
        <v>100</v>
      </c>
      <c r="B115" s="73">
        <v>20</v>
      </c>
      <c r="C115" s="133">
        <v>5</v>
      </c>
      <c r="D115" s="105" t="str">
        <f t="shared" si="2"/>
        <v>奈良平井 洸志</v>
      </c>
      <c r="E115" s="105" t="str">
        <f t="shared" si="3"/>
        <v>兵庫山田 晃司</v>
      </c>
      <c r="F115" s="74" t="str">
        <f>VLOOKUP(IF('ブロック表'!$D$16=9,ゲームNo!$C102,IF('ブロック表'!$D$16=10,ゲームNo!$I102,IF('ブロック表'!$D$16=11,ゲームNo!$O102,ゲームNo!$U102))),'ブロック表'!$A$4:$C$15,3,FALSE)</f>
        <v>兵庫</v>
      </c>
      <c r="G115" s="17" t="str">
        <f>VLOOKUP(IF('ブロック表'!$D$16=9,ゲームNo!$C102,IF('ブロック表'!$D$16=10,ゲームNo!$I102,IF('ブロック表'!$D$16=11,ゲームNo!$O102,ゲームNo!$U102))),'ブロック表'!$A$4:$N$15,13,FALSE)</f>
        <v>平井 洸志</v>
      </c>
      <c r="H115" s="85"/>
      <c r="I115" s="86" t="s">
        <v>394</v>
      </c>
      <c r="J115" s="87">
        <v>17</v>
      </c>
      <c r="K115" s="85"/>
      <c r="L115" s="22" t="str">
        <f>VLOOKUP(IF('ブロック表'!$D$16=9,ゲームNo!$D102,IF('ブロック表'!$D$16=10,ゲームNo!$J102,IF('ブロック表'!$D$16=11,ゲームNo!$P102,ゲームNo!$V102))),'ブロック表'!$A$4:$N$15,13,FALSE)</f>
        <v>山田 晃司</v>
      </c>
      <c r="M115" s="75" t="str">
        <f>VLOOKUP(IF('ブロック表'!$D$16=9,ゲームNo!$D102,IF('ブロック表'!$D$16=10,ゲームNo!$J102,IF('ブロック表'!$D$16=11,ゲームNo!$P102,ゲームNo!$V102))),'ブロック表'!$A$4:$C$15,3,FALSE)</f>
        <v>奈良</v>
      </c>
    </row>
    <row r="116" spans="1:13" ht="13.5" customHeight="1">
      <c r="A116" s="223">
        <v>101</v>
      </c>
      <c r="B116" s="70">
        <v>21</v>
      </c>
      <c r="C116" s="224">
        <v>1</v>
      </c>
      <c r="D116" s="104" t="str">
        <f t="shared" si="2"/>
        <v>愛知由本 拓</v>
      </c>
      <c r="E116" s="104" t="str">
        <f t="shared" si="3"/>
        <v>大阪B小川 晃</v>
      </c>
      <c r="F116" s="225" t="str">
        <f>VLOOKUP(IF('ブロック表'!$D$16=9,ゲームNo!$C103,IF('ブロック表'!$D$16=10,ゲームNo!$I103,IF('ブロック表'!$D$16=11,ゲームNo!$O103,ゲームNo!$U103))),'ブロック表'!$A$4:$C$15,3,FALSE)</f>
        <v>大阪B</v>
      </c>
      <c r="G116" s="226" t="str">
        <f>VLOOKUP(IF('ブロック表'!$D$16=9,ゲームNo!$C103,IF('ブロック表'!$D$16=10,ゲームNo!$I103,IF('ブロック表'!$D$16=11,ゲームNo!$O103,ゲームNo!$U103))),'ブロック表'!$A$4:$N$15,5,FALSE)</f>
        <v>由本 拓</v>
      </c>
      <c r="H116" s="227"/>
      <c r="I116" s="228">
        <v>52</v>
      </c>
      <c r="J116" s="229" t="s">
        <v>394</v>
      </c>
      <c r="K116" s="227"/>
      <c r="L116" s="230" t="str">
        <f>VLOOKUP(IF('ブロック表'!$D$16=9,ゲームNo!$D103,IF('ブロック表'!$D$16=10,ゲームNo!$J103,IF('ブロック表'!$D$16=11,ゲームNo!$P103,ゲームNo!$V103))),'ブロック表'!$A$4:$N$15,5,FALSE)</f>
        <v>小川 晃</v>
      </c>
      <c r="M116" s="231" t="str">
        <f>VLOOKUP(IF('ブロック表'!$D$16=9,ゲームNo!$D103,IF('ブロック表'!$D$16=10,ゲームNo!$J103,IF('ブロック表'!$D$16=11,ゲームNo!$P103,ゲームNo!$V103))),'ブロック表'!$A$4:$C$15,3,FALSE)</f>
        <v>愛知</v>
      </c>
    </row>
    <row r="117" spans="1:13" ht="13.5" customHeight="1">
      <c r="A117" s="98">
        <v>102</v>
      </c>
      <c r="B117" s="70">
        <v>21</v>
      </c>
      <c r="C117" s="132">
        <v>2</v>
      </c>
      <c r="D117" s="104" t="str">
        <f t="shared" si="2"/>
        <v>愛知西田 恵子</v>
      </c>
      <c r="E117" s="104" t="str">
        <f t="shared" si="3"/>
        <v>大阪B櫻井 崇之</v>
      </c>
      <c r="F117" s="71" t="str">
        <f>VLOOKUP(IF('ブロック表'!$D$16=9,ゲームNo!$C104,IF('ブロック表'!$D$16=10,ゲームNo!$I104,IF('ブロック表'!$D$16=11,ゲームNo!$O104,ゲームNo!$U104))),'ブロック表'!$A$4:$C$15,3,FALSE)</f>
        <v>大阪B</v>
      </c>
      <c r="G117" s="15" t="str">
        <f>VLOOKUP(IF('ブロック表'!$D$16=9,ゲームNo!$C104,IF('ブロック表'!$D$16=10,ゲームNo!$I104,IF('ブロック表'!$D$16=11,ゲームNo!$O104,ゲームNo!$U104))),'ブロック表'!$A$4:$N$15,7,FALSE)</f>
        <v>西田 恵子</v>
      </c>
      <c r="H117" s="82"/>
      <c r="I117" s="83">
        <v>33</v>
      </c>
      <c r="J117" s="84" t="s">
        <v>398</v>
      </c>
      <c r="K117" s="82"/>
      <c r="L117" s="21" t="str">
        <f>VLOOKUP(IF('ブロック表'!$D$16=9,ゲームNo!$D104,IF('ブロック表'!$D$16=10,ゲームNo!$J104,IF('ブロック表'!$D$16=11,ゲームNo!$P104,ゲームNo!$V104))),'ブロック表'!$A$4:$N$15,7,FALSE)</f>
        <v>櫻井 崇之</v>
      </c>
      <c r="M117" s="72" t="str">
        <f>VLOOKUP(IF('ブロック表'!$D$16=9,ゲームNo!$D104,IF('ブロック表'!$D$16=10,ゲームNo!$J104,IF('ブロック表'!$D$16=11,ゲームNo!$P104,ゲームNo!$V104))),'ブロック表'!$A$4:$C$15,3,FALSE)</f>
        <v>愛知</v>
      </c>
    </row>
    <row r="118" spans="1:13" ht="13.5" customHeight="1">
      <c r="A118" s="98">
        <v>103</v>
      </c>
      <c r="B118" s="70">
        <v>21</v>
      </c>
      <c r="C118" s="132">
        <v>3</v>
      </c>
      <c r="D118" s="104" t="str">
        <f t="shared" si="2"/>
        <v>愛知野村 宗司</v>
      </c>
      <c r="E118" s="104" t="str">
        <f t="shared" si="3"/>
        <v>大阪B野田 絢也</v>
      </c>
      <c r="F118" s="71" t="str">
        <f>VLOOKUP(IF('ブロック表'!$D$16=9,ゲームNo!$C105,IF('ブロック表'!$D$16=10,ゲームNo!$I105,IF('ブロック表'!$D$16=11,ゲームNo!$O105,ゲームNo!$U105))),'ブロック表'!$A$4:$C$15,3,FALSE)</f>
        <v>大阪B</v>
      </c>
      <c r="G118" s="15" t="str">
        <f>VLOOKUP(IF('ブロック表'!$D$16=9,ゲームNo!$C105,IF('ブロック表'!$D$16=10,ゲームNo!$I105,IF('ブロック表'!$D$16=11,ゲームNo!$O105,ゲームNo!$U105))),'ブロック表'!$A$4:$N$15,9,FALSE)</f>
        <v>野村 宗司</v>
      </c>
      <c r="H118" s="82"/>
      <c r="I118" s="83">
        <v>105</v>
      </c>
      <c r="J118" s="84" t="s">
        <v>394</v>
      </c>
      <c r="K118" s="82"/>
      <c r="L118" s="21" t="str">
        <f>VLOOKUP(IF('ブロック表'!$D$16=9,ゲームNo!$D105,IF('ブロック表'!$D$16=10,ゲームNo!$J105,IF('ブロック表'!$D$16=11,ゲームNo!$P105,ゲームNo!$V105))),'ブロック表'!$A$4:$N$15,9,FALSE)</f>
        <v>野田 絢也</v>
      </c>
      <c r="M118" s="72" t="str">
        <f>VLOOKUP(IF('ブロック表'!$D$16=9,ゲームNo!$D105,IF('ブロック表'!$D$16=10,ゲームNo!$J105,IF('ブロック表'!$D$16=11,ゲームNo!$P105,ゲームNo!$V105))),'ブロック表'!$A$4:$C$15,3,FALSE)</f>
        <v>愛知</v>
      </c>
    </row>
    <row r="119" spans="1:13" ht="13.5" customHeight="1">
      <c r="A119" s="98">
        <v>104</v>
      </c>
      <c r="B119" s="70">
        <v>21</v>
      </c>
      <c r="C119" s="132">
        <v>4</v>
      </c>
      <c r="D119" s="104" t="str">
        <f t="shared" si="2"/>
        <v>愛知山崎 真紀子</v>
      </c>
      <c r="E119" s="104" t="str">
        <f t="shared" si="3"/>
        <v>大阪B近藤 智靖</v>
      </c>
      <c r="F119" s="71" t="str">
        <f>VLOOKUP(IF('ブロック表'!$D$16=9,ゲームNo!$C106,IF('ブロック表'!$D$16=10,ゲームNo!$I106,IF('ブロック表'!$D$16=11,ゲームNo!$O106,ゲームNo!$U106))),'ブロック表'!$A$4:$C$15,3,FALSE)</f>
        <v>大阪B</v>
      </c>
      <c r="G119" s="15" t="str">
        <f>VLOOKUP(IF('ブロック表'!$D$16=9,ゲームNo!$C106,IF('ブロック表'!$D$16=10,ゲームNo!$I106,IF('ブロック表'!$D$16=11,ゲームNo!$O106,ゲームNo!$U106))),'ブロック表'!$A$4:$N$15,11,FALSE)</f>
        <v>山崎 真紀子</v>
      </c>
      <c r="H119" s="82"/>
      <c r="I119" s="83">
        <v>86</v>
      </c>
      <c r="J119" s="84" t="s">
        <v>394</v>
      </c>
      <c r="K119" s="82"/>
      <c r="L119" s="21" t="str">
        <f>VLOOKUP(IF('ブロック表'!$D$16=9,ゲームNo!$D106,IF('ブロック表'!$D$16=10,ゲームNo!$J106,IF('ブロック表'!$D$16=11,ゲームNo!$P106,ゲームNo!$V106))),'ブロック表'!$A$4:$N$15,11,FALSE)</f>
        <v>近藤 智靖</v>
      </c>
      <c r="M119" s="72" t="str">
        <f>VLOOKUP(IF('ブロック表'!$D$16=9,ゲームNo!$D106,IF('ブロック表'!$D$16=10,ゲームNo!$J106,IF('ブロック表'!$D$16=11,ゲームNo!$P106,ゲームNo!$V106))),'ブロック表'!$A$4:$C$15,3,FALSE)</f>
        <v>愛知</v>
      </c>
    </row>
    <row r="120" spans="1:13" ht="14.25" customHeight="1">
      <c r="A120" s="99">
        <v>105</v>
      </c>
      <c r="B120" s="73">
        <v>21</v>
      </c>
      <c r="C120" s="133">
        <v>5</v>
      </c>
      <c r="D120" s="105" t="str">
        <f t="shared" si="2"/>
        <v>愛知小森 雅昭</v>
      </c>
      <c r="E120" s="105" t="str">
        <f t="shared" si="3"/>
        <v>大阪B島田 隆嗣</v>
      </c>
      <c r="F120" s="74" t="str">
        <f>VLOOKUP(IF('ブロック表'!$D$16=9,ゲームNo!$C107,IF('ブロック表'!$D$16=10,ゲームNo!$I107,IF('ブロック表'!$D$16=11,ゲームNo!$O107,ゲームNo!$U107))),'ブロック表'!$A$4:$C$15,3,FALSE)</f>
        <v>大阪B</v>
      </c>
      <c r="G120" s="17" t="str">
        <f>VLOOKUP(IF('ブロック表'!$D$16=9,ゲームNo!$C107,IF('ブロック表'!$D$16=10,ゲームNo!$I107,IF('ブロック表'!$D$16=11,ゲームNo!$O107,ゲームNo!$U107))),'ブロック表'!$A$4:$N$15,13,FALSE)</f>
        <v>小森 雅昭</v>
      </c>
      <c r="H120" s="85"/>
      <c r="I120" s="86">
        <v>115</v>
      </c>
      <c r="J120" s="87" t="s">
        <v>394</v>
      </c>
      <c r="K120" s="85"/>
      <c r="L120" s="22" t="str">
        <f>VLOOKUP(IF('ブロック表'!$D$16=9,ゲームNo!$D107,IF('ブロック表'!$D$16=10,ゲームNo!$J107,IF('ブロック表'!$D$16=11,ゲームNo!$P107,ゲームNo!$V107))),'ブロック表'!$A$4:$N$15,13,FALSE)</f>
        <v>島田 隆嗣</v>
      </c>
      <c r="M120" s="75" t="str">
        <f>VLOOKUP(IF('ブロック表'!$D$16=9,ゲームNo!$D107,IF('ブロック表'!$D$16=10,ゲームNo!$J107,IF('ブロック表'!$D$16=11,ゲームNo!$P107,ゲームNo!$V107))),'ブロック表'!$A$4:$C$15,3,FALSE)</f>
        <v>愛知</v>
      </c>
    </row>
    <row r="121" spans="1:13" ht="13.5" customHeight="1">
      <c r="A121" s="97">
        <v>106</v>
      </c>
      <c r="B121" s="92">
        <v>22</v>
      </c>
      <c r="C121" s="131">
        <v>1</v>
      </c>
      <c r="D121" s="106" t="str">
        <f t="shared" si="2"/>
        <v>京都木村 隼人</v>
      </c>
      <c r="E121" s="106" t="str">
        <f t="shared" si="3"/>
        <v>岐阜今村 哲也</v>
      </c>
      <c r="F121" s="76" t="str">
        <f>VLOOKUP(IF('ブロック表'!$D$16=9,ゲームNo!$C108,IF('ブロック表'!$D$16=10,ゲームNo!$I108,IF('ブロック表'!$D$16=11,ゲームNo!$O108,ゲームNo!$U108))),'ブロック表'!$A$4:$C$15,3,FALSE)</f>
        <v>岐阜</v>
      </c>
      <c r="G121" s="19" t="str">
        <f>VLOOKUP(IF('ブロック表'!$D$16=9,ゲームNo!$C108,IF('ブロック表'!$D$16=10,ゲームNo!$I108,IF('ブロック表'!$D$16=11,ゲームNo!$O108,ゲームNo!$U108))),'ブロック表'!$A$4:$N$15,5,FALSE)</f>
        <v>木村 隼人</v>
      </c>
      <c r="H121" s="88">
        <v>111</v>
      </c>
      <c r="I121" s="89" t="s">
        <v>394</v>
      </c>
      <c r="J121" s="90">
        <v>16</v>
      </c>
      <c r="K121" s="88"/>
      <c r="L121" s="20" t="str">
        <f>VLOOKUP(IF('ブロック表'!$D$16=9,ゲームNo!$D108,IF('ブロック表'!$D$16=10,ゲームNo!$J108,IF('ブロック表'!$D$16=11,ゲームNo!$P108,ゲームNo!$V108))),'ブロック表'!$A$4:$N$15,5,FALSE)</f>
        <v>今村 哲也</v>
      </c>
      <c r="M121" s="93" t="str">
        <f>VLOOKUP(IF('ブロック表'!$D$16=9,ゲームNo!$D108,IF('ブロック表'!$D$16=10,ゲームNo!$J108,IF('ブロック表'!$D$16=11,ゲームNo!$P108,ゲームNo!$V108))),'ブロック表'!$A$4:$C$15,3,FALSE)</f>
        <v>京都</v>
      </c>
    </row>
    <row r="122" spans="1:13" ht="13.5" customHeight="1">
      <c r="A122" s="98">
        <v>107</v>
      </c>
      <c r="B122" s="70">
        <v>22</v>
      </c>
      <c r="C122" s="132">
        <v>2</v>
      </c>
      <c r="D122" s="104" t="str">
        <f t="shared" si="2"/>
        <v>京都辻 和美</v>
      </c>
      <c r="E122" s="104" t="str">
        <f t="shared" si="3"/>
        <v>岐阜田附 裕次</v>
      </c>
      <c r="F122" s="71" t="str">
        <f>VLOOKUP(IF('ブロック表'!$D$16=9,ゲームNo!$C109,IF('ブロック表'!$D$16=10,ゲームNo!$I109,IF('ブロック表'!$D$16=11,ゲームNo!$O109,ゲームNo!$U109))),'ブロック表'!$A$4:$C$15,3,FALSE)</f>
        <v>岐阜</v>
      </c>
      <c r="G122" s="15" t="str">
        <f>VLOOKUP(IF('ブロック表'!$D$16=9,ゲームNo!$C109,IF('ブロック表'!$D$16=10,ゲームNo!$I109,IF('ブロック表'!$D$16=11,ゲームNo!$O109,ゲームNo!$U109))),'ブロック表'!$A$4:$N$15,7,FALSE)</f>
        <v>辻 和美</v>
      </c>
      <c r="H122" s="82"/>
      <c r="I122" s="83">
        <v>49</v>
      </c>
      <c r="J122" s="84" t="s">
        <v>394</v>
      </c>
      <c r="K122" s="82"/>
      <c r="L122" s="21" t="str">
        <f>VLOOKUP(IF('ブロック表'!$D$16=9,ゲームNo!$D109,IF('ブロック表'!$D$16=10,ゲームNo!$J109,IF('ブロック表'!$D$16=11,ゲームNo!$P109,ゲームNo!$V109))),'ブロック表'!$A$4:$N$15,7,FALSE)</f>
        <v>田附 裕次</v>
      </c>
      <c r="M122" s="72" t="str">
        <f>VLOOKUP(IF('ブロック表'!$D$16=9,ゲームNo!$D109,IF('ブロック表'!$D$16=10,ゲームNo!$J109,IF('ブロック表'!$D$16=11,ゲームNo!$P109,ゲームNo!$V109))),'ブロック表'!$A$4:$C$15,3,FALSE)</f>
        <v>京都</v>
      </c>
    </row>
    <row r="123" spans="1:13" ht="13.5" customHeight="1">
      <c r="A123" s="98">
        <v>108</v>
      </c>
      <c r="B123" s="70">
        <v>22</v>
      </c>
      <c r="C123" s="132">
        <v>3</v>
      </c>
      <c r="D123" s="104" t="str">
        <f t="shared" si="2"/>
        <v>京都徳永 修児</v>
      </c>
      <c r="E123" s="104" t="str">
        <f t="shared" si="3"/>
        <v>岐阜佐藤 雄吾</v>
      </c>
      <c r="F123" s="71" t="str">
        <f>VLOOKUP(IF('ブロック表'!$D$16=9,ゲームNo!$C110,IF('ブロック表'!$D$16=10,ゲームNo!$I110,IF('ブロック表'!$D$16=11,ゲームNo!$O110,ゲームNo!$U110))),'ブロック表'!$A$4:$C$15,3,FALSE)</f>
        <v>岐阜</v>
      </c>
      <c r="G123" s="15" t="str">
        <f>VLOOKUP(IF('ブロック表'!$D$16=9,ゲームNo!$C110,IF('ブロック表'!$D$16=10,ゲームNo!$I110,IF('ブロック表'!$D$16=11,ゲームNo!$O110,ゲームNo!$U110))),'ブロック表'!$A$4:$N$15,9,FALSE)</f>
        <v>徳永 修児</v>
      </c>
      <c r="H123" s="82"/>
      <c r="I123" s="83">
        <v>72</v>
      </c>
      <c r="J123" s="84" t="s">
        <v>394</v>
      </c>
      <c r="K123" s="82"/>
      <c r="L123" s="21" t="str">
        <f>VLOOKUP(IF('ブロック表'!$D$16=9,ゲームNo!$D110,IF('ブロック表'!$D$16=10,ゲームNo!$J110,IF('ブロック表'!$D$16=11,ゲームNo!$P110,ゲームNo!$V110))),'ブロック表'!$A$4:$N$15,9,FALSE)</f>
        <v>佐藤 雄吾</v>
      </c>
      <c r="M123" s="72" t="str">
        <f>VLOOKUP(IF('ブロック表'!$D$16=9,ゲームNo!$D110,IF('ブロック表'!$D$16=10,ゲームNo!$J110,IF('ブロック表'!$D$16=11,ゲームNo!$P110,ゲームNo!$V110))),'ブロック表'!$A$4:$C$15,3,FALSE)</f>
        <v>京都</v>
      </c>
    </row>
    <row r="124" spans="1:13" ht="13.5" customHeight="1">
      <c r="A124" s="98">
        <v>109</v>
      </c>
      <c r="B124" s="70">
        <v>22</v>
      </c>
      <c r="C124" s="132">
        <v>4</v>
      </c>
      <c r="D124" s="104" t="str">
        <f t="shared" si="2"/>
        <v>京都高橋 浩之</v>
      </c>
      <c r="E124" s="104" t="str">
        <f t="shared" si="3"/>
        <v>岐阜加藤 秀万</v>
      </c>
      <c r="F124" s="71" t="str">
        <f>VLOOKUP(IF('ブロック表'!$D$16=9,ゲームNo!$C111,IF('ブロック表'!$D$16=10,ゲームNo!$I111,IF('ブロック表'!$D$16=11,ゲームNo!$O111,ゲームNo!$U111))),'ブロック表'!$A$4:$C$15,3,FALSE)</f>
        <v>岐阜</v>
      </c>
      <c r="G124" s="15" t="str">
        <f>VLOOKUP(IF('ブロック表'!$D$16=9,ゲームNo!$C111,IF('ブロック表'!$D$16=10,ゲームNo!$I111,IF('ブロック表'!$D$16=11,ゲームNo!$O111,ゲームNo!$U111))),'ブロック表'!$A$4:$N$15,11,FALSE)</f>
        <v>高橋 浩之</v>
      </c>
      <c r="H124" s="82"/>
      <c r="I124" s="83">
        <v>44</v>
      </c>
      <c r="J124" s="84" t="s">
        <v>404</v>
      </c>
      <c r="K124" s="82"/>
      <c r="L124" s="21" t="str">
        <f>VLOOKUP(IF('ブロック表'!$D$16=9,ゲームNo!$D111,IF('ブロック表'!$D$16=10,ゲームNo!$J111,IF('ブロック表'!$D$16=11,ゲームNo!$P111,ゲームNo!$V111))),'ブロック表'!$A$4:$N$15,11,FALSE)</f>
        <v>加藤 秀万</v>
      </c>
      <c r="M124" s="72" t="str">
        <f>VLOOKUP(IF('ブロック表'!$D$16=9,ゲームNo!$D111,IF('ブロック表'!$D$16=10,ゲームNo!$J111,IF('ブロック表'!$D$16=11,ゲームNo!$P111,ゲームNo!$V111))),'ブロック表'!$A$4:$C$15,3,FALSE)</f>
        <v>京都</v>
      </c>
    </row>
    <row r="125" spans="1:13" ht="14.25" customHeight="1">
      <c r="A125" s="99">
        <v>110</v>
      </c>
      <c r="B125" s="73">
        <v>22</v>
      </c>
      <c r="C125" s="133">
        <v>5</v>
      </c>
      <c r="D125" s="105" t="str">
        <f t="shared" si="2"/>
        <v>京都野原 朋和</v>
      </c>
      <c r="E125" s="105" t="str">
        <f t="shared" si="3"/>
        <v>岐阜山下 直生</v>
      </c>
      <c r="F125" s="74" t="str">
        <f>VLOOKUP(IF('ブロック表'!$D$16=9,ゲームNo!$C112,IF('ブロック表'!$D$16=10,ゲームNo!$I112,IF('ブロック表'!$D$16=11,ゲームNo!$O112,ゲームNo!$U112))),'ブロック表'!$A$4:$C$15,3,FALSE)</f>
        <v>岐阜</v>
      </c>
      <c r="G125" s="17" t="str">
        <f>VLOOKUP(IF('ブロック表'!$D$16=9,ゲームNo!$C112,IF('ブロック表'!$D$16=10,ゲームNo!$I112,IF('ブロック表'!$D$16=11,ゲームNo!$O112,ゲームNo!$U112))),'ブロック表'!$A$4:$N$15,13,FALSE)</f>
        <v>野原 朋和</v>
      </c>
      <c r="H125" s="85"/>
      <c r="I125" s="86">
        <v>18</v>
      </c>
      <c r="J125" s="87" t="s">
        <v>396</v>
      </c>
      <c r="K125" s="85"/>
      <c r="L125" s="22" t="str">
        <f>VLOOKUP(IF('ブロック表'!$D$16=9,ゲームNo!$D112,IF('ブロック表'!$D$16=10,ゲームNo!$J112,IF('ブロック表'!$D$16=11,ゲームNo!$P112,ゲームNo!$V112))),'ブロック表'!$A$4:$N$15,13,FALSE)</f>
        <v>山下 直生</v>
      </c>
      <c r="M125" s="75" t="str">
        <f>VLOOKUP(IF('ブロック表'!$D$16=9,ゲームNo!$D112,IF('ブロック表'!$D$16=10,ゲームNo!$J112,IF('ブロック表'!$D$16=11,ゲームNo!$P112,ゲームNo!$V112))),'ブロック表'!$A$4:$C$15,3,FALSE)</f>
        <v>京都</v>
      </c>
    </row>
    <row r="126" spans="1:13" ht="13.5" customHeight="1">
      <c r="A126" s="223">
        <v>111</v>
      </c>
      <c r="B126" s="70">
        <v>23</v>
      </c>
      <c r="C126" s="224">
        <v>1</v>
      </c>
      <c r="D126" s="104" t="str">
        <f t="shared" si="2"/>
        <v>大阪A水野 憲一</v>
      </c>
      <c r="E126" s="104" t="str">
        <f t="shared" si="3"/>
        <v>三重村上 泰辰</v>
      </c>
      <c r="F126" s="225" t="str">
        <f>VLOOKUP(IF('ブロック表'!$D$16=9,ゲームNo!$C113,IF('ブロック表'!$D$16=10,ゲームNo!$I113,IF('ブロック表'!$D$16=11,ゲームNo!$O113,ゲームNo!$U113))),'ブロック表'!$A$4:$C$15,3,FALSE)</f>
        <v>三重</v>
      </c>
      <c r="G126" s="226" t="str">
        <f>VLOOKUP(IF('ブロック表'!$D$16=9,ゲームNo!$C113,IF('ブロック表'!$D$16=10,ゲームNo!$I113,IF('ブロック表'!$D$16=11,ゲームNo!$O113,ゲームNo!$U113))),'ブロック表'!$A$4:$N$15,5,FALSE)</f>
        <v>水野 憲一</v>
      </c>
      <c r="H126" s="227"/>
      <c r="I126" s="228">
        <v>80</v>
      </c>
      <c r="J126" s="229" t="s">
        <v>394</v>
      </c>
      <c r="K126" s="227"/>
      <c r="L126" s="230" t="str">
        <f>VLOOKUP(IF('ブロック表'!$D$16=9,ゲームNo!$D113,IF('ブロック表'!$D$16=10,ゲームNo!$J113,IF('ブロック表'!$D$16=11,ゲームNo!$P113,ゲームNo!$V113))),'ブロック表'!$A$4:$N$15,5,FALSE)</f>
        <v>村上 泰辰</v>
      </c>
      <c r="M126" s="231" t="str">
        <f>VLOOKUP(IF('ブロック表'!$D$16=9,ゲームNo!$D113,IF('ブロック表'!$D$16=10,ゲームNo!$J113,IF('ブロック表'!$D$16=11,ゲームNo!$P113,ゲームNo!$V113))),'ブロック表'!$A$4:$C$15,3,FALSE)</f>
        <v>大阪A</v>
      </c>
    </row>
    <row r="127" spans="1:13" ht="13.5" customHeight="1">
      <c r="A127" s="98">
        <v>112</v>
      </c>
      <c r="B127" s="70">
        <v>23</v>
      </c>
      <c r="C127" s="132">
        <v>2</v>
      </c>
      <c r="D127" s="104" t="str">
        <f t="shared" si="2"/>
        <v>大阪A市川 裕貴</v>
      </c>
      <c r="E127" s="104" t="str">
        <f t="shared" si="3"/>
        <v>三重山岡 修二</v>
      </c>
      <c r="F127" s="71" t="str">
        <f>VLOOKUP(IF('ブロック表'!$D$16=9,ゲームNo!$C114,IF('ブロック表'!$D$16=10,ゲームNo!$I114,IF('ブロック表'!$D$16=11,ゲームNo!$O114,ゲームNo!$U114))),'ブロック表'!$A$4:$C$15,3,FALSE)</f>
        <v>三重</v>
      </c>
      <c r="G127" s="15" t="str">
        <f>VLOOKUP(IF('ブロック表'!$D$16=9,ゲームNo!$C114,IF('ブロック表'!$D$16=10,ゲームNo!$I114,IF('ブロック表'!$D$16=11,ゲームNo!$O114,ゲームNo!$U114))),'ブロック表'!$A$4:$N$15,7,FALSE)</f>
        <v>市川 裕貴</v>
      </c>
      <c r="H127" s="82"/>
      <c r="I127" s="83">
        <v>44</v>
      </c>
      <c r="J127" s="84" t="s">
        <v>394</v>
      </c>
      <c r="K127" s="82"/>
      <c r="L127" s="21" t="str">
        <f>VLOOKUP(IF('ブロック表'!$D$16=9,ゲームNo!$D114,IF('ブロック表'!$D$16=10,ゲームNo!$J114,IF('ブロック表'!$D$16=11,ゲームNo!$P114,ゲームNo!$V114))),'ブロック表'!$A$4:$N$15,7,FALSE)</f>
        <v>山岡 修二</v>
      </c>
      <c r="M127" s="72" t="str">
        <f>VLOOKUP(IF('ブロック表'!$D$16=9,ゲームNo!$D114,IF('ブロック表'!$D$16=10,ゲームNo!$J114,IF('ブロック表'!$D$16=11,ゲームNo!$P114,ゲームNo!$V114))),'ブロック表'!$A$4:$C$15,3,FALSE)</f>
        <v>大阪A</v>
      </c>
    </row>
    <row r="128" spans="1:13" ht="13.5" customHeight="1">
      <c r="A128" s="98">
        <v>113</v>
      </c>
      <c r="B128" s="70">
        <v>23</v>
      </c>
      <c r="C128" s="132">
        <v>3</v>
      </c>
      <c r="D128" s="104" t="str">
        <f t="shared" si="2"/>
        <v>大阪A黒宮 健二</v>
      </c>
      <c r="E128" s="104" t="str">
        <f t="shared" si="3"/>
        <v>三重吉岡 保俊</v>
      </c>
      <c r="F128" s="71" t="str">
        <f>VLOOKUP(IF('ブロック表'!$D$16=9,ゲームNo!$C115,IF('ブロック表'!$D$16=10,ゲームNo!$I115,IF('ブロック表'!$D$16=11,ゲームNo!$O115,ゲームNo!$U115))),'ブロック表'!$A$4:$C$15,3,FALSE)</f>
        <v>三重</v>
      </c>
      <c r="G128" s="15" t="str">
        <f>VLOOKUP(IF('ブロック表'!$D$16=9,ゲームNo!$C115,IF('ブロック表'!$D$16=10,ゲームNo!$I115,IF('ブロック表'!$D$16=11,ゲームNo!$O115,ゲームNo!$U115))),'ブロック表'!$A$4:$N$15,9,FALSE)</f>
        <v>黒宮 健二</v>
      </c>
      <c r="H128" s="82"/>
      <c r="I128" s="83" t="s">
        <v>394</v>
      </c>
      <c r="J128" s="84">
        <v>83</v>
      </c>
      <c r="K128" s="82"/>
      <c r="L128" s="21" t="str">
        <f>VLOOKUP(IF('ブロック表'!$D$16=9,ゲームNo!$D115,IF('ブロック表'!$D$16=10,ゲームNo!$J115,IF('ブロック表'!$D$16=11,ゲームNo!$P115,ゲームNo!$V115))),'ブロック表'!$A$4:$N$15,9,FALSE)</f>
        <v>吉岡 保俊</v>
      </c>
      <c r="M128" s="72" t="str">
        <f>VLOOKUP(IF('ブロック表'!$D$16=9,ゲームNo!$D115,IF('ブロック表'!$D$16=10,ゲームNo!$J115,IF('ブロック表'!$D$16=11,ゲームNo!$P115,ゲームNo!$V115))),'ブロック表'!$A$4:$C$15,3,FALSE)</f>
        <v>大阪A</v>
      </c>
    </row>
    <row r="129" spans="1:13" ht="13.5" customHeight="1">
      <c r="A129" s="98">
        <v>114</v>
      </c>
      <c r="B129" s="70">
        <v>23</v>
      </c>
      <c r="C129" s="132">
        <v>4</v>
      </c>
      <c r="D129" s="104" t="str">
        <f t="shared" si="2"/>
        <v>大阪A杉本 諭</v>
      </c>
      <c r="E129" s="104" t="str">
        <f t="shared" si="3"/>
        <v>三重乾 伸綱</v>
      </c>
      <c r="F129" s="71" t="str">
        <f>VLOOKUP(IF('ブロック表'!$D$16=9,ゲームNo!$C116,IF('ブロック表'!$D$16=10,ゲームNo!$I116,IF('ブロック表'!$D$16=11,ゲームNo!$O116,ゲームNo!$U116))),'ブロック表'!$A$4:$C$15,3,FALSE)</f>
        <v>三重</v>
      </c>
      <c r="G129" s="15" t="str">
        <f>VLOOKUP(IF('ブロック表'!$D$16=9,ゲームNo!$C116,IF('ブロック表'!$D$16=10,ゲームNo!$I116,IF('ブロック表'!$D$16=11,ゲームNo!$O116,ゲームNo!$U116))),'ブロック表'!$A$4:$N$15,11,FALSE)</f>
        <v>杉本 諭</v>
      </c>
      <c r="H129" s="82"/>
      <c r="I129" s="83" t="s">
        <v>394</v>
      </c>
      <c r="J129" s="84">
        <v>1</v>
      </c>
      <c r="K129" s="82"/>
      <c r="L129" s="21" t="str">
        <f>VLOOKUP(IF('ブロック表'!$D$16=9,ゲームNo!$D116,IF('ブロック表'!$D$16=10,ゲームNo!$J116,IF('ブロック表'!$D$16=11,ゲームNo!$P116,ゲームNo!$V116))),'ブロック表'!$A$4:$N$15,11,FALSE)</f>
        <v>乾 伸綱</v>
      </c>
      <c r="M129" s="72" t="str">
        <f>VLOOKUP(IF('ブロック表'!$D$16=9,ゲームNo!$D116,IF('ブロック表'!$D$16=10,ゲームNo!$J116,IF('ブロック表'!$D$16=11,ゲームNo!$P116,ゲームNo!$V116))),'ブロック表'!$A$4:$C$15,3,FALSE)</f>
        <v>大阪A</v>
      </c>
    </row>
    <row r="130" spans="1:13" ht="14.25" customHeight="1">
      <c r="A130" s="99">
        <v>115</v>
      </c>
      <c r="B130" s="73">
        <v>23</v>
      </c>
      <c r="C130" s="133">
        <v>5</v>
      </c>
      <c r="D130" s="105" t="str">
        <f t="shared" si="2"/>
        <v>大阪A森本 英幸</v>
      </c>
      <c r="E130" s="105" t="str">
        <f t="shared" si="3"/>
        <v>三重山田 玄英</v>
      </c>
      <c r="F130" s="74" t="str">
        <f>VLOOKUP(IF('ブロック表'!$D$16=9,ゲームNo!$C117,IF('ブロック表'!$D$16=10,ゲームNo!$I117,IF('ブロック表'!$D$16=11,ゲームNo!$O117,ゲームNo!$U117))),'ブロック表'!$A$4:$C$15,3,FALSE)</f>
        <v>三重</v>
      </c>
      <c r="G130" s="17" t="str">
        <f>VLOOKUP(IF('ブロック表'!$D$16=9,ゲームNo!$C117,IF('ブロック表'!$D$16=10,ゲームNo!$I117,IF('ブロック表'!$D$16=11,ゲームNo!$O117,ゲームNo!$U117))),'ブロック表'!$A$4:$N$15,13,FALSE)</f>
        <v>森本 英幸</v>
      </c>
      <c r="H130" s="85"/>
      <c r="I130" s="86">
        <v>57</v>
      </c>
      <c r="J130" s="87" t="s">
        <v>394</v>
      </c>
      <c r="K130" s="85"/>
      <c r="L130" s="22" t="str">
        <f>VLOOKUP(IF('ブロック表'!$D$16=9,ゲームNo!$D117,IF('ブロック表'!$D$16=10,ゲームNo!$J117,IF('ブロック表'!$D$16=11,ゲームNo!$P117,ゲームNo!$V117))),'ブロック表'!$A$4:$N$15,13,FALSE)</f>
        <v>山田 玄英</v>
      </c>
      <c r="M130" s="75" t="str">
        <f>VLOOKUP(IF('ブロック表'!$D$16=9,ゲームNo!$D117,IF('ブロック表'!$D$16=10,ゲームNo!$J117,IF('ブロック表'!$D$16=11,ゲームNo!$P117,ゲームNo!$V117))),'ブロック表'!$A$4:$C$15,3,FALSE)</f>
        <v>大阪A</v>
      </c>
    </row>
    <row r="131" spans="1:13" ht="13.5" customHeight="1">
      <c r="A131" s="97">
        <v>116</v>
      </c>
      <c r="B131" s="92">
        <v>24</v>
      </c>
      <c r="C131" s="131">
        <v>1</v>
      </c>
      <c r="D131" s="106" t="str">
        <f t="shared" si="2"/>
        <v>和歌山岩本 剛</v>
      </c>
      <c r="E131" s="106" t="str">
        <f t="shared" si="3"/>
        <v>奈良岸上 賢一</v>
      </c>
      <c r="F131" s="76" t="str">
        <f>VLOOKUP(IF('ブロック表'!$D$16=9,ゲームNo!$C118,IF('ブロック表'!$D$16=10,ゲームNo!$I118,IF('ブロック表'!$D$16=11,ゲームNo!$O118,ゲームNo!$U118))),'ブロック表'!$A$4:$C$15,3,FALSE)</f>
        <v>奈良</v>
      </c>
      <c r="G131" s="19" t="str">
        <f>VLOOKUP(IF('ブロック表'!$D$16=9,ゲームNo!$C118,IF('ブロック表'!$D$16=10,ゲームNo!$I118,IF('ブロック表'!$D$16=11,ゲームNo!$O118,ゲームNo!$U118))),'ブロック表'!$A$4:$N$15,5,FALSE)</f>
        <v>岩本 剛</v>
      </c>
      <c r="H131" s="88"/>
      <c r="I131" s="89">
        <v>113</v>
      </c>
      <c r="J131" s="90" t="s">
        <v>394</v>
      </c>
      <c r="K131" s="88"/>
      <c r="L131" s="20" t="str">
        <f>VLOOKUP(IF('ブロック表'!$D$16=9,ゲームNo!$D118,IF('ブロック表'!$D$16=10,ゲームNo!$J118,IF('ブロック表'!$D$16=11,ゲームNo!$P118,ゲームNo!$V118))),'ブロック表'!$A$4:$N$15,5,FALSE)</f>
        <v>岸上 賢一</v>
      </c>
      <c r="M131" s="93" t="str">
        <f>VLOOKUP(IF('ブロック表'!$D$16=9,ゲームNo!$D118,IF('ブロック表'!$D$16=10,ゲームNo!$J118,IF('ブロック表'!$D$16=11,ゲームNo!$P118,ゲームNo!$V118))),'ブロック表'!$A$4:$C$15,3,FALSE)</f>
        <v>和歌山</v>
      </c>
    </row>
    <row r="132" spans="1:13" ht="13.5" customHeight="1">
      <c r="A132" s="98">
        <v>117</v>
      </c>
      <c r="B132" s="70">
        <v>24</v>
      </c>
      <c r="C132" s="132">
        <v>2</v>
      </c>
      <c r="D132" s="104" t="str">
        <f t="shared" si="2"/>
        <v>和歌山水田 賢宏</v>
      </c>
      <c r="E132" s="104" t="str">
        <f t="shared" si="3"/>
        <v>奈良末岡 修</v>
      </c>
      <c r="F132" s="71" t="str">
        <f>VLOOKUP(IF('ブロック表'!$D$16=9,ゲームNo!$C119,IF('ブロック表'!$D$16=10,ゲームNo!$I119,IF('ブロック表'!$D$16=11,ゲームNo!$O119,ゲームNo!$U119))),'ブロック表'!$A$4:$C$15,3,FALSE)</f>
        <v>奈良</v>
      </c>
      <c r="G132" s="15" t="str">
        <f>VLOOKUP(IF('ブロック表'!$D$16=9,ゲームNo!$C119,IF('ブロック表'!$D$16=10,ゲームNo!$I119,IF('ブロック表'!$D$16=11,ゲームNo!$O119,ゲームNo!$U119))),'ブロック表'!$A$4:$N$15,7,FALSE)</f>
        <v>水田 賢宏</v>
      </c>
      <c r="H132" s="82"/>
      <c r="I132" s="83">
        <v>107</v>
      </c>
      <c r="J132" s="84" t="s">
        <v>394</v>
      </c>
      <c r="K132" s="82"/>
      <c r="L132" s="21" t="str">
        <f>VLOOKUP(IF('ブロック表'!$D$16=9,ゲームNo!$D119,IF('ブロック表'!$D$16=10,ゲームNo!$J119,IF('ブロック表'!$D$16=11,ゲームNo!$P119,ゲームNo!$V119))),'ブロック表'!$A$4:$N$15,7,FALSE)</f>
        <v>末岡 修</v>
      </c>
      <c r="M132" s="72" t="str">
        <f>VLOOKUP(IF('ブロック表'!$D$16=9,ゲームNo!$D119,IF('ブロック表'!$D$16=10,ゲームNo!$J119,IF('ブロック表'!$D$16=11,ゲームNo!$P119,ゲームNo!$V119))),'ブロック表'!$A$4:$C$15,3,FALSE)</f>
        <v>和歌山</v>
      </c>
    </row>
    <row r="133" spans="1:13" ht="13.5" customHeight="1">
      <c r="A133" s="98">
        <v>118</v>
      </c>
      <c r="B133" s="70">
        <v>24</v>
      </c>
      <c r="C133" s="132">
        <v>3</v>
      </c>
      <c r="D133" s="104" t="str">
        <f t="shared" si="2"/>
        <v>和歌山長谷川 進</v>
      </c>
      <c r="E133" s="104" t="str">
        <f t="shared" si="3"/>
        <v>奈良杉本 博章</v>
      </c>
      <c r="F133" s="71" t="str">
        <f>VLOOKUP(IF('ブロック表'!$D$16=9,ゲームNo!$C120,IF('ブロック表'!$D$16=10,ゲームNo!$I120,IF('ブロック表'!$D$16=11,ゲームNo!$O120,ゲームNo!$U120))),'ブロック表'!$A$4:$C$15,3,FALSE)</f>
        <v>奈良</v>
      </c>
      <c r="G133" s="15" t="str">
        <f>VLOOKUP(IF('ブロック表'!$D$16=9,ゲームNo!$C120,IF('ブロック表'!$D$16=10,ゲームNo!$I120,IF('ブロック表'!$D$16=11,ゲームNo!$O120,ゲームNo!$U120))),'ブロック表'!$A$4:$N$15,9,FALSE)</f>
        <v>長谷川 進</v>
      </c>
      <c r="H133" s="82"/>
      <c r="I133" s="83">
        <v>4</v>
      </c>
      <c r="J133" s="84" t="s">
        <v>394</v>
      </c>
      <c r="K133" s="82"/>
      <c r="L133" s="21" t="str">
        <f>VLOOKUP(IF('ブロック表'!$D$16=9,ゲームNo!$D120,IF('ブロック表'!$D$16=10,ゲームNo!$J120,IF('ブロック表'!$D$16=11,ゲームNo!$P120,ゲームNo!$V120))),'ブロック表'!$A$4:$N$15,9,FALSE)</f>
        <v>杉本 博章</v>
      </c>
      <c r="M133" s="72" t="str">
        <f>VLOOKUP(IF('ブロック表'!$D$16=9,ゲームNo!$D120,IF('ブロック表'!$D$16=10,ゲームNo!$J120,IF('ブロック表'!$D$16=11,ゲームNo!$P120,ゲームNo!$V120))),'ブロック表'!$A$4:$C$15,3,FALSE)</f>
        <v>和歌山</v>
      </c>
    </row>
    <row r="134" spans="1:13" ht="13.5" customHeight="1">
      <c r="A134" s="98">
        <v>119</v>
      </c>
      <c r="B134" s="70">
        <v>24</v>
      </c>
      <c r="C134" s="132">
        <v>4</v>
      </c>
      <c r="D134" s="104" t="str">
        <f t="shared" si="2"/>
        <v>和歌山植田 慎也</v>
      </c>
      <c r="E134" s="104" t="str">
        <f t="shared" si="3"/>
        <v>奈良丹次 力良</v>
      </c>
      <c r="F134" s="71" t="str">
        <f>VLOOKUP(IF('ブロック表'!$D$16=9,ゲームNo!$C121,IF('ブロック表'!$D$16=10,ゲームNo!$I121,IF('ブロック表'!$D$16=11,ゲームNo!$O121,ゲームNo!$U121))),'ブロック表'!$A$4:$C$15,3,FALSE)</f>
        <v>奈良</v>
      </c>
      <c r="G134" s="15" t="str">
        <f>VLOOKUP(IF('ブロック表'!$D$16=9,ゲームNo!$C121,IF('ブロック表'!$D$16=10,ゲームNo!$I121,IF('ブロック表'!$D$16=11,ゲームNo!$O121,ゲームNo!$U121))),'ブロック表'!$A$4:$N$15,11,FALSE)</f>
        <v>植田 慎也</v>
      </c>
      <c r="H134" s="82"/>
      <c r="I134" s="83" t="s">
        <v>394</v>
      </c>
      <c r="J134" s="84">
        <v>67</v>
      </c>
      <c r="K134" s="82"/>
      <c r="L134" s="21" t="str">
        <f>VLOOKUP(IF('ブロック表'!$D$16=9,ゲームNo!$D121,IF('ブロック表'!$D$16=10,ゲームNo!$J121,IF('ブロック表'!$D$16=11,ゲームNo!$P121,ゲームNo!$V121))),'ブロック表'!$A$4:$N$15,11,FALSE)</f>
        <v>丹次 力良</v>
      </c>
      <c r="M134" s="72" t="str">
        <f>VLOOKUP(IF('ブロック表'!$D$16=9,ゲームNo!$D121,IF('ブロック表'!$D$16=10,ゲームNo!$J121,IF('ブロック表'!$D$16=11,ゲームNo!$P121,ゲームNo!$V121))),'ブロック表'!$A$4:$C$15,3,FALSE)</f>
        <v>和歌山</v>
      </c>
    </row>
    <row r="135" spans="1:13" ht="14.25" customHeight="1">
      <c r="A135" s="99">
        <v>120</v>
      </c>
      <c r="B135" s="73">
        <v>24</v>
      </c>
      <c r="C135" s="133">
        <v>5</v>
      </c>
      <c r="D135" s="105" t="str">
        <f t="shared" si="2"/>
        <v>和歌山山田 晃司</v>
      </c>
      <c r="E135" s="105" t="str">
        <f t="shared" si="3"/>
        <v>奈良和田 宗一郎</v>
      </c>
      <c r="F135" s="74" t="str">
        <f>VLOOKUP(IF('ブロック表'!$D$16=9,ゲームNo!$C122,IF('ブロック表'!$D$16=10,ゲームNo!$I122,IF('ブロック表'!$D$16=11,ゲームNo!$O122,ゲームNo!$U122))),'ブロック表'!$A$4:$C$15,3,FALSE)</f>
        <v>奈良</v>
      </c>
      <c r="G135" s="17" t="str">
        <f>VLOOKUP(IF('ブロック表'!$D$16=9,ゲームNo!$C122,IF('ブロック表'!$D$16=10,ゲームNo!$I122,IF('ブロック表'!$D$16=11,ゲームNo!$O122,ゲームNo!$U122))),'ブロック表'!$A$4:$N$15,13,FALSE)</f>
        <v>山田 晃司</v>
      </c>
      <c r="H135" s="85"/>
      <c r="I135" s="86" t="s">
        <v>394</v>
      </c>
      <c r="J135" s="87">
        <v>53</v>
      </c>
      <c r="K135" s="85"/>
      <c r="L135" s="22" t="str">
        <f>VLOOKUP(IF('ブロック表'!$D$16=9,ゲームNo!$D122,IF('ブロック表'!$D$16=10,ゲームNo!$J122,IF('ブロック表'!$D$16=11,ゲームNo!$P122,ゲームNo!$V122))),'ブロック表'!$A$4:$N$15,13,FALSE)</f>
        <v>和田 宗一郎</v>
      </c>
      <c r="M135" s="75" t="str">
        <f>VLOOKUP(IF('ブロック表'!$D$16=9,ゲームNo!$D122,IF('ブロック表'!$D$16=10,ゲームNo!$J122,IF('ブロック表'!$D$16=11,ゲームNo!$P122,ゲームNo!$V122))),'ブロック表'!$A$4:$C$15,3,FALSE)</f>
        <v>和歌山</v>
      </c>
    </row>
    <row r="136" spans="1:13" ht="13.5" customHeight="1">
      <c r="A136" s="97">
        <v>121</v>
      </c>
      <c r="B136" s="92">
        <v>25</v>
      </c>
      <c r="C136" s="131">
        <v>1</v>
      </c>
      <c r="D136" s="106" t="str">
        <f t="shared" si="2"/>
        <v>滋賀高木 俊行</v>
      </c>
      <c r="E136" s="106" t="str">
        <f t="shared" si="3"/>
        <v>兵庫酒井 美希</v>
      </c>
      <c r="F136" s="76" t="str">
        <f>VLOOKUP(IF('ブロック表'!$D$16=9,ゲームNo!$C123,IF('ブロック表'!$D$16=10,ゲームNo!$I123,IF('ブロック表'!$D$16=11,ゲームNo!$O123,ゲームNo!$U123))),'ブロック表'!$A$4:$C$15,3,FALSE)</f>
        <v>兵庫</v>
      </c>
      <c r="G136" s="19" t="str">
        <f>VLOOKUP(IF('ブロック表'!$D$16=9,ゲームNo!$C123,IF('ブロック表'!$D$16=10,ゲームNo!$I123,IF('ブロック表'!$D$16=11,ゲームNo!$O123,ゲームNo!$U123))),'ブロック表'!$A$4:$N$15,5,FALSE)</f>
        <v>高木 俊行</v>
      </c>
      <c r="H136" s="88"/>
      <c r="I136" s="89" t="s">
        <v>394</v>
      </c>
      <c r="J136" s="90">
        <v>6</v>
      </c>
      <c r="K136" s="88"/>
      <c r="L136" s="20" t="str">
        <f>VLOOKUP(IF('ブロック表'!$D$16=9,ゲームNo!$D123,IF('ブロック表'!$D$16=10,ゲームNo!$J123,IF('ブロック表'!$D$16=11,ゲームNo!$P123,ゲームNo!$V123))),'ブロック表'!$A$4:$N$15,5,FALSE)</f>
        <v>酒井 美希</v>
      </c>
      <c r="M136" s="93" t="str">
        <f>VLOOKUP(IF('ブロック表'!$D$16=9,ゲームNo!$D123,IF('ブロック表'!$D$16=10,ゲームNo!$J123,IF('ブロック表'!$D$16=11,ゲームNo!$P123,ゲームNo!$V123))),'ブロック表'!$A$4:$C$15,3,FALSE)</f>
        <v>滋賀</v>
      </c>
    </row>
    <row r="137" spans="1:13" ht="13.5" customHeight="1">
      <c r="A137" s="98">
        <v>122</v>
      </c>
      <c r="B137" s="70">
        <v>25</v>
      </c>
      <c r="C137" s="132">
        <v>2</v>
      </c>
      <c r="D137" s="104" t="str">
        <f t="shared" si="2"/>
        <v>滋賀堂園 雅也</v>
      </c>
      <c r="E137" s="104" t="str">
        <f t="shared" si="3"/>
        <v>兵庫大橋 義治</v>
      </c>
      <c r="F137" s="71" t="str">
        <f>VLOOKUP(IF('ブロック表'!$D$16=9,ゲームNo!$C124,IF('ブロック表'!$D$16=10,ゲームNo!$I124,IF('ブロック表'!$D$16=11,ゲームNo!$O124,ゲームNo!$U124))),'ブロック表'!$A$4:$C$15,3,FALSE)</f>
        <v>兵庫</v>
      </c>
      <c r="G137" s="15" t="str">
        <f>VLOOKUP(IF('ブロック表'!$D$16=9,ゲームNo!$C124,IF('ブロック表'!$D$16=10,ゲームNo!$I124,IF('ブロック表'!$D$16=11,ゲームNo!$O124,ゲームNo!$U124))),'ブロック表'!$A$4:$N$15,7,FALSE)</f>
        <v>堂園 雅也</v>
      </c>
      <c r="H137" s="82"/>
      <c r="I137" s="83">
        <v>17</v>
      </c>
      <c r="J137" s="84" t="s">
        <v>405</v>
      </c>
      <c r="K137" s="82">
        <v>118</v>
      </c>
      <c r="L137" s="21" t="str">
        <f>VLOOKUP(IF('ブロック表'!$D$16=9,ゲームNo!$D124,IF('ブロック表'!$D$16=10,ゲームNo!$J124,IF('ブロック表'!$D$16=11,ゲームNo!$P124,ゲームNo!$V124))),'ブロック表'!$A$4:$N$15,7,FALSE)</f>
        <v>大橋 義治</v>
      </c>
      <c r="M137" s="72" t="str">
        <f>VLOOKUP(IF('ブロック表'!$D$16=9,ゲームNo!$D124,IF('ブロック表'!$D$16=10,ゲームNo!$J124,IF('ブロック表'!$D$16=11,ゲームNo!$P124,ゲームNo!$V124))),'ブロック表'!$A$4:$C$15,3,FALSE)</f>
        <v>滋賀</v>
      </c>
    </row>
    <row r="138" spans="1:13" ht="13.5" customHeight="1">
      <c r="A138" s="98">
        <v>123</v>
      </c>
      <c r="B138" s="70">
        <v>25</v>
      </c>
      <c r="C138" s="132">
        <v>3</v>
      </c>
      <c r="D138" s="104" t="str">
        <f t="shared" si="2"/>
        <v>滋賀森 映智</v>
      </c>
      <c r="E138" s="104" t="str">
        <f t="shared" si="3"/>
        <v>兵庫西峰 久祐</v>
      </c>
      <c r="F138" s="71" t="str">
        <f>VLOOKUP(IF('ブロック表'!$D$16=9,ゲームNo!$C125,IF('ブロック表'!$D$16=10,ゲームNo!$I125,IF('ブロック表'!$D$16=11,ゲームNo!$O125,ゲームNo!$U125))),'ブロック表'!$A$4:$C$15,3,FALSE)</f>
        <v>兵庫</v>
      </c>
      <c r="G138" s="15" t="str">
        <f>VLOOKUP(IF('ブロック表'!$D$16=9,ゲームNo!$C125,IF('ブロック表'!$D$16=10,ゲームNo!$I125,IF('ブロック表'!$D$16=11,ゲームNo!$O125,ゲームNo!$U125))),'ブロック表'!$A$4:$N$15,9,FALSE)</f>
        <v>森 映智</v>
      </c>
      <c r="H138" s="82"/>
      <c r="I138" s="83">
        <v>69</v>
      </c>
      <c r="J138" s="84" t="s">
        <v>394</v>
      </c>
      <c r="K138" s="82"/>
      <c r="L138" s="21" t="str">
        <f>VLOOKUP(IF('ブロック表'!$D$16=9,ゲームNo!$D125,IF('ブロック表'!$D$16=10,ゲームNo!$J125,IF('ブロック表'!$D$16=11,ゲームNo!$P125,ゲームNo!$V125))),'ブロック表'!$A$4:$N$15,9,FALSE)</f>
        <v>西峰 久祐</v>
      </c>
      <c r="M138" s="72" t="str">
        <f>VLOOKUP(IF('ブロック表'!$D$16=9,ゲームNo!$D125,IF('ブロック表'!$D$16=10,ゲームNo!$J125,IF('ブロック表'!$D$16=11,ゲームNo!$P125,ゲームNo!$V125))),'ブロック表'!$A$4:$C$15,3,FALSE)</f>
        <v>滋賀</v>
      </c>
    </row>
    <row r="139" spans="1:13" ht="13.5" customHeight="1">
      <c r="A139" s="98">
        <v>124</v>
      </c>
      <c r="B139" s="70">
        <v>25</v>
      </c>
      <c r="C139" s="132">
        <v>4</v>
      </c>
      <c r="D139" s="104" t="str">
        <f t="shared" si="2"/>
        <v>滋賀白澤 雄一郎</v>
      </c>
      <c r="E139" s="104" t="str">
        <f t="shared" si="3"/>
        <v>兵庫長田 智紀</v>
      </c>
      <c r="F139" s="71" t="str">
        <f>VLOOKUP(IF('ブロック表'!$D$16=9,ゲームNo!$C126,IF('ブロック表'!$D$16=10,ゲームNo!$I126,IF('ブロック表'!$D$16=11,ゲームNo!$O126,ゲームNo!$U126))),'ブロック表'!$A$4:$C$15,3,FALSE)</f>
        <v>兵庫</v>
      </c>
      <c r="G139" s="15" t="str">
        <f>VLOOKUP(IF('ブロック表'!$D$16=9,ゲームNo!$C126,IF('ブロック表'!$D$16=10,ゲームNo!$I126,IF('ブロック表'!$D$16=11,ゲームNo!$O126,ゲームNo!$U126))),'ブロック表'!$A$4:$N$15,11,FALSE)</f>
        <v>白澤 雄一郎</v>
      </c>
      <c r="H139" s="82"/>
      <c r="I139" s="83">
        <v>17</v>
      </c>
      <c r="J139" s="84" t="s">
        <v>394</v>
      </c>
      <c r="K139" s="82"/>
      <c r="L139" s="21" t="str">
        <f>VLOOKUP(IF('ブロック表'!$D$16=9,ゲームNo!$D126,IF('ブロック表'!$D$16=10,ゲームNo!$J126,IF('ブロック表'!$D$16=11,ゲームNo!$P126,ゲームNo!$V126))),'ブロック表'!$A$4:$N$15,11,FALSE)</f>
        <v>長田 智紀</v>
      </c>
      <c r="M139" s="72" t="str">
        <f>VLOOKUP(IF('ブロック表'!$D$16=9,ゲームNo!$D126,IF('ブロック表'!$D$16=10,ゲームNo!$J126,IF('ブロック表'!$D$16=11,ゲームNo!$P126,ゲームNo!$V126))),'ブロック表'!$A$4:$C$15,3,FALSE)</f>
        <v>滋賀</v>
      </c>
    </row>
    <row r="140" spans="1:13" ht="14.25" customHeight="1">
      <c r="A140" s="99">
        <v>125</v>
      </c>
      <c r="B140" s="73">
        <v>25</v>
      </c>
      <c r="C140" s="133">
        <v>5</v>
      </c>
      <c r="D140" s="105" t="str">
        <f t="shared" si="2"/>
        <v>滋賀平井 洸志</v>
      </c>
      <c r="E140" s="105" t="str">
        <f t="shared" si="3"/>
        <v>兵庫大橋 正寛</v>
      </c>
      <c r="F140" s="74" t="str">
        <f>VLOOKUP(IF('ブロック表'!$D$16=9,ゲームNo!$C127,IF('ブロック表'!$D$16=10,ゲームNo!$I127,IF('ブロック表'!$D$16=11,ゲームNo!$O127,ゲームNo!$U127))),'ブロック表'!$A$4:$C$15,3,FALSE)</f>
        <v>兵庫</v>
      </c>
      <c r="G140" s="17" t="str">
        <f>VLOOKUP(IF('ブロック表'!$D$16=9,ゲームNo!$C127,IF('ブロック表'!$D$16=10,ゲームNo!$I127,IF('ブロック表'!$D$16=11,ゲームNo!$O127,ゲームNo!$U127))),'ブロック表'!$A$4:$N$15,13,FALSE)</f>
        <v>平井 洸志</v>
      </c>
      <c r="H140" s="85"/>
      <c r="I140" s="86">
        <v>8</v>
      </c>
      <c r="J140" s="87" t="s">
        <v>394</v>
      </c>
      <c r="K140" s="85"/>
      <c r="L140" s="22" t="str">
        <f>VLOOKUP(IF('ブロック表'!$D$16=9,ゲームNo!$D127,IF('ブロック表'!$D$16=10,ゲームNo!$J127,IF('ブロック表'!$D$16=11,ゲームNo!$P127,ゲームNo!$V127))),'ブロック表'!$A$4:$N$15,13,FALSE)</f>
        <v>大橋 正寛</v>
      </c>
      <c r="M140" s="75" t="str">
        <f>VLOOKUP(IF('ブロック表'!$D$16=9,ゲームNo!$D127,IF('ブロック表'!$D$16=10,ゲームNo!$J127,IF('ブロック表'!$D$16=11,ゲームNo!$P127,ゲームNo!$V127))),'ブロック表'!$A$4:$C$15,3,FALSE)</f>
        <v>滋賀</v>
      </c>
    </row>
    <row r="141" spans="1:13" ht="13.5" customHeight="1">
      <c r="A141" s="97">
        <v>126</v>
      </c>
      <c r="B141" s="92">
        <v>26</v>
      </c>
      <c r="C141" s="131">
        <v>1</v>
      </c>
      <c r="D141" s="106" t="str">
        <f t="shared" si="2"/>
        <v>大阪B木村 隼人</v>
      </c>
      <c r="E141" s="106" t="str">
        <f t="shared" si="3"/>
        <v>岐阜由本 拓</v>
      </c>
      <c r="F141" s="76" t="str">
        <f>VLOOKUP(IF('ブロック表'!$D$16=9,ゲームNo!$C128,IF('ブロック表'!$D$16=10,ゲームNo!$I128,IF('ブロック表'!$D$16=11,ゲームNo!$O128,ゲームNo!$U128))),'ブロック表'!$A$4:$C$15,3,FALSE)</f>
        <v>岐阜</v>
      </c>
      <c r="G141" s="19" t="str">
        <f>VLOOKUP(IF('ブロック表'!$D$16=9,ゲームNo!$C128,IF('ブロック表'!$D$16=10,ゲームNo!$I128,IF('ブロック表'!$D$16=11,ゲームNo!$O128,ゲームNo!$U128))),'ブロック表'!$A$4:$N$15,5,FALSE)</f>
        <v>木村 隼人</v>
      </c>
      <c r="H141" s="88"/>
      <c r="I141" s="89">
        <v>96</v>
      </c>
      <c r="J141" s="90" t="s">
        <v>394</v>
      </c>
      <c r="K141" s="88"/>
      <c r="L141" s="20" t="str">
        <f>VLOOKUP(IF('ブロック表'!$D$16=9,ゲームNo!$D128,IF('ブロック表'!$D$16=10,ゲームNo!$J128,IF('ブロック表'!$D$16=11,ゲームNo!$P128,ゲームNo!$V128))),'ブロック表'!$A$4:$N$15,5,FALSE)</f>
        <v>由本 拓</v>
      </c>
      <c r="M141" s="93" t="str">
        <f>VLOOKUP(IF('ブロック表'!$D$16=9,ゲームNo!$D128,IF('ブロック表'!$D$16=10,ゲームNo!$J128,IF('ブロック表'!$D$16=11,ゲームNo!$P128,ゲームNo!$V128))),'ブロック表'!$A$4:$C$15,3,FALSE)</f>
        <v>大阪B</v>
      </c>
    </row>
    <row r="142" spans="1:13" ht="13.5" customHeight="1">
      <c r="A142" s="98">
        <v>127</v>
      </c>
      <c r="B142" s="70">
        <v>26</v>
      </c>
      <c r="C142" s="132">
        <v>2</v>
      </c>
      <c r="D142" s="104" t="str">
        <f t="shared" si="2"/>
        <v>大阪B辻 和美</v>
      </c>
      <c r="E142" s="104" t="str">
        <f t="shared" si="3"/>
        <v>岐阜西田 恵子</v>
      </c>
      <c r="F142" s="71" t="str">
        <f>VLOOKUP(IF('ブロック表'!$D$16=9,ゲームNo!$C129,IF('ブロック表'!$D$16=10,ゲームNo!$I129,IF('ブロック表'!$D$16=11,ゲームNo!$O129,ゲームNo!$U129))),'ブロック表'!$A$4:$C$15,3,FALSE)</f>
        <v>岐阜</v>
      </c>
      <c r="G142" s="15" t="str">
        <f>VLOOKUP(IF('ブロック表'!$D$16=9,ゲームNo!$C129,IF('ブロック表'!$D$16=10,ゲームNo!$I129,IF('ブロック表'!$D$16=11,ゲームNo!$O129,ゲームNo!$U129))),'ブロック表'!$A$4:$N$15,7,FALSE)</f>
        <v>辻 和美</v>
      </c>
      <c r="H142" s="82"/>
      <c r="I142" s="83" t="s">
        <v>394</v>
      </c>
      <c r="J142" s="84">
        <v>118</v>
      </c>
      <c r="K142" s="82"/>
      <c r="L142" s="21" t="str">
        <f>VLOOKUP(IF('ブロック表'!$D$16=9,ゲームNo!$D129,IF('ブロック表'!$D$16=10,ゲームNo!$J129,IF('ブロック表'!$D$16=11,ゲームNo!$P129,ゲームNo!$V129))),'ブロック表'!$A$4:$N$15,7,FALSE)</f>
        <v>西田 恵子</v>
      </c>
      <c r="M142" s="72" t="str">
        <f>VLOOKUP(IF('ブロック表'!$D$16=9,ゲームNo!$D129,IF('ブロック表'!$D$16=10,ゲームNo!$J129,IF('ブロック表'!$D$16=11,ゲームNo!$P129,ゲームNo!$V129))),'ブロック表'!$A$4:$C$15,3,FALSE)</f>
        <v>大阪B</v>
      </c>
    </row>
    <row r="143" spans="1:13" ht="13.5" customHeight="1">
      <c r="A143" s="98">
        <v>128</v>
      </c>
      <c r="B143" s="70">
        <v>26</v>
      </c>
      <c r="C143" s="132">
        <v>3</v>
      </c>
      <c r="D143" s="104" t="str">
        <f t="shared" si="2"/>
        <v>大阪B徳永 修児</v>
      </c>
      <c r="E143" s="104" t="str">
        <f t="shared" si="3"/>
        <v>岐阜野村 宗司</v>
      </c>
      <c r="F143" s="71" t="str">
        <f>VLOOKUP(IF('ブロック表'!$D$16=9,ゲームNo!$C130,IF('ブロック表'!$D$16=10,ゲームNo!$I130,IF('ブロック表'!$D$16=11,ゲームNo!$O130,ゲームNo!$U130))),'ブロック表'!$A$4:$C$15,3,FALSE)</f>
        <v>岐阜</v>
      </c>
      <c r="G143" s="15" t="str">
        <f>VLOOKUP(IF('ブロック表'!$D$16=9,ゲームNo!$C130,IF('ブロック表'!$D$16=10,ゲームNo!$I130,IF('ブロック表'!$D$16=11,ゲームNo!$O130,ゲームNo!$U130))),'ブロック表'!$A$4:$N$15,9,FALSE)</f>
        <v>徳永 修児</v>
      </c>
      <c r="H143" s="82">
        <v>120</v>
      </c>
      <c r="I143" s="83" t="s">
        <v>394</v>
      </c>
      <c r="J143" s="84">
        <v>0</v>
      </c>
      <c r="K143" s="82"/>
      <c r="L143" s="21" t="str">
        <f>VLOOKUP(IF('ブロック表'!$D$16=9,ゲームNo!$D130,IF('ブロック表'!$D$16=10,ゲームNo!$J130,IF('ブロック表'!$D$16=11,ゲームNo!$P130,ゲームNo!$V130))),'ブロック表'!$A$4:$N$15,9,FALSE)</f>
        <v>野村 宗司</v>
      </c>
      <c r="M143" s="72" t="str">
        <f>VLOOKUP(IF('ブロック表'!$D$16=9,ゲームNo!$D130,IF('ブロック表'!$D$16=10,ゲームNo!$J130,IF('ブロック表'!$D$16=11,ゲームNo!$P130,ゲームNo!$V130))),'ブロック表'!$A$4:$C$15,3,FALSE)</f>
        <v>大阪B</v>
      </c>
    </row>
    <row r="144" spans="1:13" ht="13.5" customHeight="1">
      <c r="A144" s="98">
        <v>129</v>
      </c>
      <c r="B144" s="70">
        <v>26</v>
      </c>
      <c r="C144" s="132">
        <v>4</v>
      </c>
      <c r="D144" s="104" t="str">
        <f aca="true" t="shared" si="4" ref="D144:D207">M144&amp;G144</f>
        <v>大阪B高橋 浩之</v>
      </c>
      <c r="E144" s="104" t="str">
        <f aca="true" t="shared" si="5" ref="E144:E207">F144&amp;L144</f>
        <v>岐阜山崎 真紀子</v>
      </c>
      <c r="F144" s="71" t="str">
        <f>VLOOKUP(IF('ブロック表'!$D$16=9,ゲームNo!$C131,IF('ブロック表'!$D$16=10,ゲームNo!$I131,IF('ブロック表'!$D$16=11,ゲームNo!$O131,ゲームNo!$U131))),'ブロック表'!$A$4:$C$15,3,FALSE)</f>
        <v>岐阜</v>
      </c>
      <c r="G144" s="15" t="str">
        <f>VLOOKUP(IF('ブロック表'!$D$16=9,ゲームNo!$C131,IF('ブロック表'!$D$16=10,ゲームNo!$I131,IF('ブロック表'!$D$16=11,ゲームNo!$O131,ゲームNo!$U131))),'ブロック表'!$A$4:$N$15,11,FALSE)</f>
        <v>高橋 浩之</v>
      </c>
      <c r="H144" s="82"/>
      <c r="I144" s="83" t="s">
        <v>394</v>
      </c>
      <c r="J144" s="84">
        <v>35</v>
      </c>
      <c r="K144" s="82"/>
      <c r="L144" s="21" t="str">
        <f>VLOOKUP(IF('ブロック表'!$D$16=9,ゲームNo!$D131,IF('ブロック表'!$D$16=10,ゲームNo!$J131,IF('ブロック表'!$D$16=11,ゲームNo!$P131,ゲームNo!$V131))),'ブロック表'!$A$4:$N$15,11,FALSE)</f>
        <v>山崎 真紀子</v>
      </c>
      <c r="M144" s="72" t="str">
        <f>VLOOKUP(IF('ブロック表'!$D$16=9,ゲームNo!$D131,IF('ブロック表'!$D$16=10,ゲームNo!$J131,IF('ブロック表'!$D$16=11,ゲームNo!$P131,ゲームNo!$V131))),'ブロック表'!$A$4:$C$15,3,FALSE)</f>
        <v>大阪B</v>
      </c>
    </row>
    <row r="145" spans="1:13" ht="14.25" customHeight="1">
      <c r="A145" s="99">
        <v>130</v>
      </c>
      <c r="B145" s="73">
        <v>26</v>
      </c>
      <c r="C145" s="133">
        <v>5</v>
      </c>
      <c r="D145" s="105" t="str">
        <f t="shared" si="4"/>
        <v>大阪B野原 朋和</v>
      </c>
      <c r="E145" s="105" t="str">
        <f t="shared" si="5"/>
        <v>岐阜小森 雅昭</v>
      </c>
      <c r="F145" s="74" t="str">
        <f>VLOOKUP(IF('ブロック表'!$D$16=9,ゲームNo!$C132,IF('ブロック表'!$D$16=10,ゲームNo!$I132,IF('ブロック表'!$D$16=11,ゲームNo!$O132,ゲームNo!$U132))),'ブロック表'!$A$4:$C$15,3,FALSE)</f>
        <v>岐阜</v>
      </c>
      <c r="G145" s="17" t="str">
        <f>VLOOKUP(IF('ブロック表'!$D$16=9,ゲームNo!$C132,IF('ブロック表'!$D$16=10,ゲームNo!$I132,IF('ブロック表'!$D$16=11,ゲームNo!$O132,ゲームNo!$U132))),'ブロック表'!$A$4:$N$15,13,FALSE)</f>
        <v>野原 朋和</v>
      </c>
      <c r="H145" s="85"/>
      <c r="I145" s="86">
        <v>9</v>
      </c>
      <c r="J145" s="87" t="s">
        <v>394</v>
      </c>
      <c r="K145" s="85"/>
      <c r="L145" s="22" t="str">
        <f>VLOOKUP(IF('ブロック表'!$D$16=9,ゲームNo!$D132,IF('ブロック表'!$D$16=10,ゲームNo!$J132,IF('ブロック表'!$D$16=11,ゲームNo!$P132,ゲームNo!$V132))),'ブロック表'!$A$4:$N$15,13,FALSE)</f>
        <v>小森 雅昭</v>
      </c>
      <c r="M145" s="75" t="str">
        <f>VLOOKUP(IF('ブロック表'!$D$16=9,ゲームNo!$D132,IF('ブロック表'!$D$16=10,ゲームNo!$J132,IF('ブロック表'!$D$16=11,ゲームNo!$P132,ゲームNo!$V132))),'ブロック表'!$A$4:$C$15,3,FALSE)</f>
        <v>大阪B</v>
      </c>
    </row>
    <row r="146" spans="1:13" ht="13.5" customHeight="1">
      <c r="A146" s="97">
        <v>131</v>
      </c>
      <c r="B146" s="92">
        <v>27</v>
      </c>
      <c r="C146" s="131">
        <v>1</v>
      </c>
      <c r="D146" s="106" t="str">
        <f t="shared" si="4"/>
        <v>愛知水野 憲一</v>
      </c>
      <c r="E146" s="106" t="str">
        <f t="shared" si="5"/>
        <v>三重小川 晃</v>
      </c>
      <c r="F146" s="76" t="str">
        <f>VLOOKUP(IF('ブロック表'!$D$16=9,ゲームNo!$C133,IF('ブロック表'!$D$16=10,ゲームNo!$I133,IF('ブロック表'!$D$16=11,ゲームNo!$O133,ゲームNo!$U133))),'ブロック表'!$A$4:$C$15,3,FALSE)</f>
        <v>三重</v>
      </c>
      <c r="G146" s="19" t="str">
        <f>VLOOKUP(IF('ブロック表'!$D$16=9,ゲームNo!$C133,IF('ブロック表'!$D$16=10,ゲームNo!$I133,IF('ブロック表'!$D$16=11,ゲームNo!$O133,ゲームNo!$U133))),'ブロック表'!$A$4:$N$15,5,FALSE)</f>
        <v>水野 憲一</v>
      </c>
      <c r="H146" s="88"/>
      <c r="I146" s="89" t="s">
        <v>402</v>
      </c>
      <c r="J146" s="90">
        <v>115</v>
      </c>
      <c r="K146" s="88"/>
      <c r="L146" s="20" t="str">
        <f>VLOOKUP(IF('ブロック表'!$D$16=9,ゲームNo!$D133,IF('ブロック表'!$D$16=10,ゲームNo!$J133,IF('ブロック表'!$D$16=11,ゲームNo!$P133,ゲームNo!$V133))),'ブロック表'!$A$4:$N$15,5,FALSE)</f>
        <v>小川 晃</v>
      </c>
      <c r="M146" s="93" t="str">
        <f>VLOOKUP(IF('ブロック表'!$D$16=9,ゲームNo!$D133,IF('ブロック表'!$D$16=10,ゲームNo!$J133,IF('ブロック表'!$D$16=11,ゲームNo!$P133,ゲームNo!$V133))),'ブロック表'!$A$4:$C$15,3,FALSE)</f>
        <v>愛知</v>
      </c>
    </row>
    <row r="147" spans="1:13" ht="13.5" customHeight="1">
      <c r="A147" s="98">
        <v>132</v>
      </c>
      <c r="B147" s="70">
        <v>27</v>
      </c>
      <c r="C147" s="132">
        <v>2</v>
      </c>
      <c r="D147" s="104" t="str">
        <f t="shared" si="4"/>
        <v>愛知市川 裕貴</v>
      </c>
      <c r="E147" s="104" t="str">
        <f t="shared" si="5"/>
        <v>三重櫻井 崇之</v>
      </c>
      <c r="F147" s="71" t="str">
        <f>VLOOKUP(IF('ブロック表'!$D$16=9,ゲームNo!$C134,IF('ブロック表'!$D$16=10,ゲームNo!$I134,IF('ブロック表'!$D$16=11,ゲームNo!$O134,ゲームNo!$U134))),'ブロック表'!$A$4:$C$15,3,FALSE)</f>
        <v>三重</v>
      </c>
      <c r="G147" s="15" t="str">
        <f>VLOOKUP(IF('ブロック表'!$D$16=9,ゲームNo!$C134,IF('ブロック表'!$D$16=10,ゲームNo!$I134,IF('ブロック表'!$D$16=11,ゲームNo!$O134,ゲームNo!$U134))),'ブロック表'!$A$4:$N$15,7,FALSE)</f>
        <v>市川 裕貴</v>
      </c>
      <c r="H147" s="82"/>
      <c r="I147" s="83" t="s">
        <v>400</v>
      </c>
      <c r="J147" s="84">
        <v>54</v>
      </c>
      <c r="K147" s="82"/>
      <c r="L147" s="21" t="str">
        <f>VLOOKUP(IF('ブロック表'!$D$16=9,ゲームNo!$D134,IF('ブロック表'!$D$16=10,ゲームNo!$J134,IF('ブロック表'!$D$16=11,ゲームNo!$P134,ゲームNo!$V134))),'ブロック表'!$A$4:$N$15,7,FALSE)</f>
        <v>櫻井 崇之</v>
      </c>
      <c r="M147" s="72" t="str">
        <f>VLOOKUP(IF('ブロック表'!$D$16=9,ゲームNo!$D134,IF('ブロック表'!$D$16=10,ゲームNo!$J134,IF('ブロック表'!$D$16=11,ゲームNo!$P134,ゲームNo!$V134))),'ブロック表'!$A$4:$C$15,3,FALSE)</f>
        <v>愛知</v>
      </c>
    </row>
    <row r="148" spans="1:13" ht="13.5" customHeight="1">
      <c r="A148" s="98">
        <v>133</v>
      </c>
      <c r="B148" s="70">
        <v>27</v>
      </c>
      <c r="C148" s="132">
        <v>3</v>
      </c>
      <c r="D148" s="104" t="str">
        <f t="shared" si="4"/>
        <v>愛知黒宮 健二</v>
      </c>
      <c r="E148" s="104" t="str">
        <f t="shared" si="5"/>
        <v>三重野田 絢也</v>
      </c>
      <c r="F148" s="71" t="str">
        <f>VLOOKUP(IF('ブロック表'!$D$16=9,ゲームNo!$C135,IF('ブロック表'!$D$16=10,ゲームNo!$I135,IF('ブロック表'!$D$16=11,ゲームNo!$O135,ゲームNo!$U135))),'ブロック表'!$A$4:$C$15,3,FALSE)</f>
        <v>三重</v>
      </c>
      <c r="G148" s="15" t="str">
        <f>VLOOKUP(IF('ブロック表'!$D$16=9,ゲームNo!$C135,IF('ブロック表'!$D$16=10,ゲームNo!$I135,IF('ブロック表'!$D$16=11,ゲームNo!$O135,ゲームNo!$U135))),'ブロック表'!$A$4:$N$15,9,FALSE)</f>
        <v>黒宮 健二</v>
      </c>
      <c r="H148" s="82"/>
      <c r="I148" s="83">
        <v>51</v>
      </c>
      <c r="J148" s="84" t="s">
        <v>406</v>
      </c>
      <c r="K148" s="82"/>
      <c r="L148" s="21" t="str">
        <f>VLOOKUP(IF('ブロック表'!$D$16=9,ゲームNo!$D135,IF('ブロック表'!$D$16=10,ゲームNo!$J135,IF('ブロック表'!$D$16=11,ゲームNo!$P135,ゲームNo!$V135))),'ブロック表'!$A$4:$N$15,9,FALSE)</f>
        <v>野田 絢也</v>
      </c>
      <c r="M148" s="72" t="str">
        <f>VLOOKUP(IF('ブロック表'!$D$16=9,ゲームNo!$D135,IF('ブロック表'!$D$16=10,ゲームNo!$J135,IF('ブロック表'!$D$16=11,ゲームNo!$P135,ゲームNo!$V135))),'ブロック表'!$A$4:$C$15,3,FALSE)</f>
        <v>愛知</v>
      </c>
    </row>
    <row r="149" spans="1:13" ht="13.5" customHeight="1">
      <c r="A149" s="98">
        <v>134</v>
      </c>
      <c r="B149" s="70">
        <v>27</v>
      </c>
      <c r="C149" s="132">
        <v>4</v>
      </c>
      <c r="D149" s="104" t="str">
        <f t="shared" si="4"/>
        <v>愛知杉本 諭</v>
      </c>
      <c r="E149" s="104" t="str">
        <f t="shared" si="5"/>
        <v>三重近藤 智靖</v>
      </c>
      <c r="F149" s="71" t="str">
        <f>VLOOKUP(IF('ブロック表'!$D$16=9,ゲームNo!$C136,IF('ブロック表'!$D$16=10,ゲームNo!$I136,IF('ブロック表'!$D$16=11,ゲームNo!$O136,ゲームNo!$U136))),'ブロック表'!$A$4:$C$15,3,FALSE)</f>
        <v>三重</v>
      </c>
      <c r="G149" s="15" t="str">
        <f>VLOOKUP(IF('ブロック表'!$D$16=9,ゲームNo!$C136,IF('ブロック表'!$D$16=10,ゲームNo!$I136,IF('ブロック表'!$D$16=11,ゲームNo!$O136,ゲームNo!$U136))),'ブロック表'!$A$4:$N$15,11,FALSE)</f>
        <v>杉本 諭</v>
      </c>
      <c r="H149" s="82"/>
      <c r="I149" s="83" t="s">
        <v>394</v>
      </c>
      <c r="J149" s="84">
        <v>41</v>
      </c>
      <c r="K149" s="82"/>
      <c r="L149" s="21" t="str">
        <f>VLOOKUP(IF('ブロック表'!$D$16=9,ゲームNo!$D136,IF('ブロック表'!$D$16=10,ゲームNo!$J136,IF('ブロック表'!$D$16=11,ゲームNo!$P136,ゲームNo!$V136))),'ブロック表'!$A$4:$N$15,11,FALSE)</f>
        <v>近藤 智靖</v>
      </c>
      <c r="M149" s="72" t="str">
        <f>VLOOKUP(IF('ブロック表'!$D$16=9,ゲームNo!$D136,IF('ブロック表'!$D$16=10,ゲームNo!$J136,IF('ブロック表'!$D$16=11,ゲームNo!$P136,ゲームNo!$V136))),'ブロック表'!$A$4:$C$15,3,FALSE)</f>
        <v>愛知</v>
      </c>
    </row>
    <row r="150" spans="1:13" ht="14.25" customHeight="1">
      <c r="A150" s="99">
        <v>135</v>
      </c>
      <c r="B150" s="73">
        <v>27</v>
      </c>
      <c r="C150" s="133">
        <v>5</v>
      </c>
      <c r="D150" s="105" t="str">
        <f t="shared" si="4"/>
        <v>愛知森本 英幸</v>
      </c>
      <c r="E150" s="105" t="str">
        <f t="shared" si="5"/>
        <v>三重島田 隆嗣</v>
      </c>
      <c r="F150" s="74" t="str">
        <f>VLOOKUP(IF('ブロック表'!$D$16=9,ゲームNo!$C137,IF('ブロック表'!$D$16=10,ゲームNo!$I137,IF('ブロック表'!$D$16=11,ゲームNo!$O137,ゲームNo!$U137))),'ブロック表'!$A$4:$C$15,3,FALSE)</f>
        <v>三重</v>
      </c>
      <c r="G150" s="17" t="str">
        <f>VLOOKUP(IF('ブロック表'!$D$16=9,ゲームNo!$C137,IF('ブロック表'!$D$16=10,ゲームNo!$I137,IF('ブロック表'!$D$16=11,ゲームNo!$O137,ゲームNo!$U137))),'ブロック表'!$A$4:$N$15,13,FALSE)</f>
        <v>森本 英幸</v>
      </c>
      <c r="H150" s="85"/>
      <c r="I150" s="86" t="s">
        <v>394</v>
      </c>
      <c r="J150" s="87">
        <v>65</v>
      </c>
      <c r="K150" s="85"/>
      <c r="L150" s="22" t="str">
        <f>VLOOKUP(IF('ブロック表'!$D$16=9,ゲームNo!$D137,IF('ブロック表'!$D$16=10,ゲームNo!$J137,IF('ブロック表'!$D$16=11,ゲームNo!$P137,ゲームNo!$V137))),'ブロック表'!$A$4:$N$15,13,FALSE)</f>
        <v>島田 隆嗣</v>
      </c>
      <c r="M150" s="75" t="str">
        <f>VLOOKUP(IF('ブロック表'!$D$16=9,ゲームNo!$D137,IF('ブロック表'!$D$16=10,ゲームNo!$J137,IF('ブロック表'!$D$16=11,ゲームNo!$P137,ゲームNo!$V137))),'ブロック表'!$A$4:$C$15,3,FALSE)</f>
        <v>愛知</v>
      </c>
    </row>
    <row r="151" spans="1:13" ht="13.5" customHeight="1">
      <c r="A151" s="97">
        <v>136</v>
      </c>
      <c r="B151" s="92">
        <v>28</v>
      </c>
      <c r="C151" s="131">
        <v>1</v>
      </c>
      <c r="D151" s="106" t="str">
        <f t="shared" si="4"/>
        <v>京都岩本 剛</v>
      </c>
      <c r="E151" s="106" t="str">
        <f t="shared" si="5"/>
        <v>奈良今村 哲也</v>
      </c>
      <c r="F151" s="76" t="str">
        <f>VLOOKUP(IF('ブロック表'!$D$16=9,ゲームNo!$C138,IF('ブロック表'!$D$16=10,ゲームNo!$I138,IF('ブロック表'!$D$16=11,ゲームNo!$O138,ゲームNo!$U138))),'ブロック表'!$A$4:$C$15,3,FALSE)</f>
        <v>奈良</v>
      </c>
      <c r="G151" s="19" t="str">
        <f>VLOOKUP(IF('ブロック表'!$D$16=9,ゲームNo!$C138,IF('ブロック表'!$D$16=10,ゲームNo!$I138,IF('ブロック表'!$D$16=11,ゲームNo!$O138,ゲームNo!$U138))),'ブロック表'!$A$4:$N$15,5,FALSE)</f>
        <v>岩本 剛</v>
      </c>
      <c r="H151" s="88"/>
      <c r="I151" s="89">
        <v>94</v>
      </c>
      <c r="J151" s="90" t="s">
        <v>401</v>
      </c>
      <c r="K151" s="88"/>
      <c r="L151" s="20" t="str">
        <f>VLOOKUP(IF('ブロック表'!$D$16=9,ゲームNo!$D138,IF('ブロック表'!$D$16=10,ゲームNo!$J138,IF('ブロック表'!$D$16=11,ゲームNo!$P138,ゲームNo!$V138))),'ブロック表'!$A$4:$N$15,5,FALSE)</f>
        <v>今村 哲也</v>
      </c>
      <c r="M151" s="93" t="str">
        <f>VLOOKUP(IF('ブロック表'!$D$16=9,ゲームNo!$D138,IF('ブロック表'!$D$16=10,ゲームNo!$J138,IF('ブロック表'!$D$16=11,ゲームNo!$P138,ゲームNo!$V138))),'ブロック表'!$A$4:$C$15,3,FALSE)</f>
        <v>京都</v>
      </c>
    </row>
    <row r="152" spans="1:13" ht="13.5" customHeight="1">
      <c r="A152" s="98">
        <v>137</v>
      </c>
      <c r="B152" s="70">
        <v>28</v>
      </c>
      <c r="C152" s="132">
        <v>2</v>
      </c>
      <c r="D152" s="104" t="str">
        <f t="shared" si="4"/>
        <v>京都水田 賢宏</v>
      </c>
      <c r="E152" s="104" t="str">
        <f t="shared" si="5"/>
        <v>奈良田附 裕次</v>
      </c>
      <c r="F152" s="71" t="str">
        <f>VLOOKUP(IF('ブロック表'!$D$16=9,ゲームNo!$C139,IF('ブロック表'!$D$16=10,ゲームNo!$I139,IF('ブロック表'!$D$16=11,ゲームNo!$O139,ゲームNo!$U139))),'ブロック表'!$A$4:$C$15,3,FALSE)</f>
        <v>奈良</v>
      </c>
      <c r="G152" s="15" t="str">
        <f>VLOOKUP(IF('ブロック表'!$D$16=9,ゲームNo!$C139,IF('ブロック表'!$D$16=10,ゲームNo!$I139,IF('ブロック表'!$D$16=11,ゲームNo!$O139,ゲームNo!$U139))),'ブロック表'!$A$4:$N$15,7,FALSE)</f>
        <v>水田 賢宏</v>
      </c>
      <c r="H152" s="82"/>
      <c r="I152" s="83">
        <v>50</v>
      </c>
      <c r="J152" s="84" t="s">
        <v>394</v>
      </c>
      <c r="K152" s="82"/>
      <c r="L152" s="21" t="str">
        <f>VLOOKUP(IF('ブロック表'!$D$16=9,ゲームNo!$D139,IF('ブロック表'!$D$16=10,ゲームNo!$J139,IF('ブロック表'!$D$16=11,ゲームNo!$P139,ゲームNo!$V139))),'ブロック表'!$A$4:$N$15,7,FALSE)</f>
        <v>田附 裕次</v>
      </c>
      <c r="M152" s="72" t="str">
        <f>VLOOKUP(IF('ブロック表'!$D$16=9,ゲームNo!$D139,IF('ブロック表'!$D$16=10,ゲームNo!$J139,IF('ブロック表'!$D$16=11,ゲームNo!$P139,ゲームNo!$V139))),'ブロック表'!$A$4:$C$15,3,FALSE)</f>
        <v>京都</v>
      </c>
    </row>
    <row r="153" spans="1:13" ht="13.5" customHeight="1">
      <c r="A153" s="98">
        <v>138</v>
      </c>
      <c r="B153" s="70">
        <v>28</v>
      </c>
      <c r="C153" s="132">
        <v>3</v>
      </c>
      <c r="D153" s="104" t="str">
        <f t="shared" si="4"/>
        <v>京都長谷川 進</v>
      </c>
      <c r="E153" s="104" t="str">
        <f t="shared" si="5"/>
        <v>奈良佐藤 雄吾</v>
      </c>
      <c r="F153" s="71" t="str">
        <f>VLOOKUP(IF('ブロック表'!$D$16=9,ゲームNo!$C140,IF('ブロック表'!$D$16=10,ゲームNo!$I140,IF('ブロック表'!$D$16=11,ゲームNo!$O140,ゲームNo!$U140))),'ブロック表'!$A$4:$C$15,3,FALSE)</f>
        <v>奈良</v>
      </c>
      <c r="G153" s="15" t="str">
        <f>VLOOKUP(IF('ブロック表'!$D$16=9,ゲームNo!$C140,IF('ブロック表'!$D$16=10,ゲームNo!$I140,IF('ブロック表'!$D$16=11,ゲームNo!$O140,ゲームNo!$U140))),'ブロック表'!$A$4:$N$15,9,FALSE)</f>
        <v>長谷川 進</v>
      </c>
      <c r="H153" s="82"/>
      <c r="I153" s="83">
        <v>16</v>
      </c>
      <c r="J153" s="84" t="s">
        <v>394</v>
      </c>
      <c r="K153" s="82"/>
      <c r="L153" s="21" t="str">
        <f>VLOOKUP(IF('ブロック表'!$D$16=9,ゲームNo!$D140,IF('ブロック表'!$D$16=10,ゲームNo!$J140,IF('ブロック表'!$D$16=11,ゲームNo!$P140,ゲームNo!$V140))),'ブロック表'!$A$4:$N$15,9,FALSE)</f>
        <v>佐藤 雄吾</v>
      </c>
      <c r="M153" s="72" t="str">
        <f>VLOOKUP(IF('ブロック表'!$D$16=9,ゲームNo!$D140,IF('ブロック表'!$D$16=10,ゲームNo!$J140,IF('ブロック表'!$D$16=11,ゲームNo!$P140,ゲームNo!$V140))),'ブロック表'!$A$4:$C$15,3,FALSE)</f>
        <v>京都</v>
      </c>
    </row>
    <row r="154" spans="1:13" ht="13.5" customHeight="1">
      <c r="A154" s="98">
        <v>139</v>
      </c>
      <c r="B154" s="70">
        <v>28</v>
      </c>
      <c r="C154" s="132">
        <v>4</v>
      </c>
      <c r="D154" s="104" t="str">
        <f t="shared" si="4"/>
        <v>京都植田 慎也</v>
      </c>
      <c r="E154" s="104" t="str">
        <f t="shared" si="5"/>
        <v>奈良加藤 秀万</v>
      </c>
      <c r="F154" s="71" t="str">
        <f>VLOOKUP(IF('ブロック表'!$D$16=9,ゲームNo!$C141,IF('ブロック表'!$D$16=10,ゲームNo!$I141,IF('ブロック表'!$D$16=11,ゲームNo!$O141,ゲームNo!$U141))),'ブロック表'!$A$4:$C$15,3,FALSE)</f>
        <v>奈良</v>
      </c>
      <c r="G154" s="15" t="str">
        <f>VLOOKUP(IF('ブロック表'!$D$16=9,ゲームNo!$C141,IF('ブロック表'!$D$16=10,ゲームNo!$I141,IF('ブロック表'!$D$16=11,ゲームNo!$O141,ゲームNo!$U141))),'ブロック表'!$A$4:$N$15,11,FALSE)</f>
        <v>植田 慎也</v>
      </c>
      <c r="H154" s="82"/>
      <c r="I154" s="83">
        <v>52</v>
      </c>
      <c r="J154" s="84" t="s">
        <v>394</v>
      </c>
      <c r="K154" s="82"/>
      <c r="L154" s="21" t="str">
        <f>VLOOKUP(IF('ブロック表'!$D$16=9,ゲームNo!$D141,IF('ブロック表'!$D$16=10,ゲームNo!$J141,IF('ブロック表'!$D$16=11,ゲームNo!$P141,ゲームNo!$V141))),'ブロック表'!$A$4:$N$15,11,FALSE)</f>
        <v>加藤 秀万</v>
      </c>
      <c r="M154" s="72" t="str">
        <f>VLOOKUP(IF('ブロック表'!$D$16=9,ゲームNo!$D141,IF('ブロック表'!$D$16=10,ゲームNo!$J141,IF('ブロック表'!$D$16=11,ゲームNo!$P141,ゲームNo!$V141))),'ブロック表'!$A$4:$C$15,3,FALSE)</f>
        <v>京都</v>
      </c>
    </row>
    <row r="155" spans="1:13" ht="14.25" customHeight="1">
      <c r="A155" s="242">
        <v>140</v>
      </c>
      <c r="B155" s="243">
        <v>28</v>
      </c>
      <c r="C155" s="244">
        <v>5</v>
      </c>
      <c r="D155" s="245" t="str">
        <f t="shared" si="4"/>
        <v>京都山田 晃司</v>
      </c>
      <c r="E155" s="245" t="str">
        <f t="shared" si="5"/>
        <v>奈良山下 直生</v>
      </c>
      <c r="F155" s="246" t="str">
        <f>VLOOKUP(IF('ブロック表'!$D$16=9,ゲームNo!$C142,IF('ブロック表'!$D$16=10,ゲームNo!$I142,IF('ブロック表'!$D$16=11,ゲームNo!$O142,ゲームNo!$U142))),'ブロック表'!$A$4:$C$15,3,FALSE)</f>
        <v>奈良</v>
      </c>
      <c r="G155" s="247" t="str">
        <f>VLOOKUP(IF('ブロック表'!$D$16=9,ゲームNo!$C142,IF('ブロック表'!$D$16=10,ゲームNo!$I142,IF('ブロック表'!$D$16=11,ゲームNo!$O142,ゲームNo!$U142))),'ブロック表'!$A$4:$N$15,13,FALSE)</f>
        <v>山田 晃司</v>
      </c>
      <c r="H155" s="248"/>
      <c r="I155" s="249" t="s">
        <v>394</v>
      </c>
      <c r="J155" s="250">
        <v>71</v>
      </c>
      <c r="K155" s="248"/>
      <c r="L155" s="251" t="str">
        <f>VLOOKUP(IF('ブロック表'!$D$16=9,ゲームNo!$D142,IF('ブロック表'!$D$16=10,ゲームNo!$J142,IF('ブロック表'!$D$16=11,ゲームNo!$P142,ゲームNo!$V142))),'ブロック表'!$A$4:$N$15,13,FALSE)</f>
        <v>山下 直生</v>
      </c>
      <c r="M155" s="252" t="str">
        <f>VLOOKUP(IF('ブロック表'!$D$16=9,ゲームNo!$D142,IF('ブロック表'!$D$16=10,ゲームNo!$J142,IF('ブロック表'!$D$16=11,ゲームNo!$P142,ゲームNo!$V142))),'ブロック表'!$A$4:$C$15,3,FALSE)</f>
        <v>京都</v>
      </c>
    </row>
    <row r="156" spans="1:13" ht="14.25" customHeight="1">
      <c r="A156" s="223">
        <v>141</v>
      </c>
      <c r="B156" s="70">
        <v>29</v>
      </c>
      <c r="C156" s="224">
        <v>1</v>
      </c>
      <c r="D156" s="104" t="str">
        <f t="shared" si="4"/>
        <v>大阪A酒井 美希</v>
      </c>
      <c r="E156" s="104" t="str">
        <f t="shared" si="5"/>
        <v>滋賀村上 泰辰</v>
      </c>
      <c r="F156" s="225" t="str">
        <f>VLOOKUP(IF('ブロック表'!$D$16=9,ゲームNo!$C143,IF('ブロック表'!$D$16=10,ゲームNo!$I143,IF('ブロック表'!$D$16=11,ゲームNo!$O143,ゲームNo!$U143))),'ブロック表'!$A$4:$C$15,3,FALSE)</f>
        <v>滋賀</v>
      </c>
      <c r="G156" s="226" t="str">
        <f>VLOOKUP(IF('ブロック表'!$D$16=9,ゲームNo!$C143,IF('ブロック表'!$D$16=10,ゲームNo!$I143,IF('ブロック表'!$D$16=11,ゲームNo!$O143,ゲームNo!$U143))),'ブロック表'!$A$4:$N$15,5,FALSE)</f>
        <v>酒井 美希</v>
      </c>
      <c r="H156" s="227"/>
      <c r="I156" s="228">
        <v>40</v>
      </c>
      <c r="J156" s="229" t="s">
        <v>394</v>
      </c>
      <c r="K156" s="227"/>
      <c r="L156" s="230" t="str">
        <f>VLOOKUP(IF('ブロック表'!$D$16=9,ゲームNo!$D143,IF('ブロック表'!$D$16=10,ゲームNo!$J143,IF('ブロック表'!$D$16=11,ゲームNo!$P143,ゲームNo!$V143))),'ブロック表'!$A$4:$N$15,5,FALSE)</f>
        <v>村上 泰辰</v>
      </c>
      <c r="M156" s="231" t="str">
        <f>VLOOKUP(IF('ブロック表'!$D$16=9,ゲームNo!$D143,IF('ブロック表'!$D$16=10,ゲームNo!$J143,IF('ブロック表'!$D$16=11,ゲームNo!$P143,ゲームNo!$V143))),'ブロック表'!$A$4:$C$15,3,FALSE)</f>
        <v>大阪A</v>
      </c>
    </row>
    <row r="157" spans="1:13" ht="13.5" customHeight="1">
      <c r="A157" s="98">
        <v>142</v>
      </c>
      <c r="B157" s="70">
        <v>29</v>
      </c>
      <c r="C157" s="132">
        <v>2</v>
      </c>
      <c r="D157" s="104" t="str">
        <f t="shared" si="4"/>
        <v>大阪A大橋 義治</v>
      </c>
      <c r="E157" s="104" t="str">
        <f t="shared" si="5"/>
        <v>滋賀山岡 修二</v>
      </c>
      <c r="F157" s="71" t="str">
        <f>VLOOKUP(IF('ブロック表'!$D$16=9,ゲームNo!$C144,IF('ブロック表'!$D$16=10,ゲームNo!$I144,IF('ブロック表'!$D$16=11,ゲームNo!$O144,ゲームNo!$U144))),'ブロック表'!$A$4:$C$15,3,FALSE)</f>
        <v>滋賀</v>
      </c>
      <c r="G157" s="15" t="str">
        <f>VLOOKUP(IF('ブロック表'!$D$16=9,ゲームNo!$C144,IF('ブロック表'!$D$16=10,ゲームNo!$I144,IF('ブロック表'!$D$16=11,ゲームNo!$O144,ゲームNo!$U144))),'ブロック表'!$A$4:$N$15,7,FALSE)</f>
        <v>大橋 義治</v>
      </c>
      <c r="H157" s="82"/>
      <c r="I157" s="83">
        <v>107</v>
      </c>
      <c r="J157" s="84" t="s">
        <v>394</v>
      </c>
      <c r="K157" s="82"/>
      <c r="L157" s="21" t="str">
        <f>VLOOKUP(IF('ブロック表'!$D$16=9,ゲームNo!$D144,IF('ブロック表'!$D$16=10,ゲームNo!$J144,IF('ブロック表'!$D$16=11,ゲームNo!$P144,ゲームNo!$V144))),'ブロック表'!$A$4:$N$15,7,FALSE)</f>
        <v>山岡 修二</v>
      </c>
      <c r="M157" s="72" t="str">
        <f>VLOOKUP(IF('ブロック表'!$D$16=9,ゲームNo!$D144,IF('ブロック表'!$D$16=10,ゲームNo!$J144,IF('ブロック表'!$D$16=11,ゲームNo!$P144,ゲームNo!$V144))),'ブロック表'!$A$4:$C$15,3,FALSE)</f>
        <v>大阪A</v>
      </c>
    </row>
    <row r="158" spans="1:13" ht="13.5" customHeight="1">
      <c r="A158" s="98">
        <v>143</v>
      </c>
      <c r="B158" s="70">
        <v>29</v>
      </c>
      <c r="C158" s="132">
        <v>3</v>
      </c>
      <c r="D158" s="104" t="str">
        <f t="shared" si="4"/>
        <v>大阪A西峰 久祐</v>
      </c>
      <c r="E158" s="104" t="str">
        <f t="shared" si="5"/>
        <v>滋賀吉岡 保俊</v>
      </c>
      <c r="F158" s="71" t="str">
        <f>VLOOKUP(IF('ブロック表'!$D$16=9,ゲームNo!$C145,IF('ブロック表'!$D$16=10,ゲームNo!$I145,IF('ブロック表'!$D$16=11,ゲームNo!$O145,ゲームNo!$U145))),'ブロック表'!$A$4:$C$15,3,FALSE)</f>
        <v>滋賀</v>
      </c>
      <c r="G158" s="15" t="str">
        <f>VLOOKUP(IF('ブロック表'!$D$16=9,ゲームNo!$C145,IF('ブロック表'!$D$16=10,ゲームNo!$I145,IF('ブロック表'!$D$16=11,ゲームNo!$O145,ゲームNo!$U145))),'ブロック表'!$A$4:$N$15,9,FALSE)</f>
        <v>西峰 久祐</v>
      </c>
      <c r="H158" s="82"/>
      <c r="I158" s="83">
        <v>1</v>
      </c>
      <c r="J158" s="84" t="s">
        <v>407</v>
      </c>
      <c r="K158" s="82">
        <v>119</v>
      </c>
      <c r="L158" s="21" t="str">
        <f>VLOOKUP(IF('ブロック表'!$D$16=9,ゲームNo!$D145,IF('ブロック表'!$D$16=10,ゲームNo!$J145,IF('ブロック表'!$D$16=11,ゲームNo!$P145,ゲームNo!$V145))),'ブロック表'!$A$4:$N$15,9,FALSE)</f>
        <v>吉岡 保俊</v>
      </c>
      <c r="M158" s="72" t="str">
        <f>VLOOKUP(IF('ブロック表'!$D$16=9,ゲームNo!$D145,IF('ブロック表'!$D$16=10,ゲームNo!$J145,IF('ブロック表'!$D$16=11,ゲームNo!$P145,ゲームNo!$V145))),'ブロック表'!$A$4:$C$15,3,FALSE)</f>
        <v>大阪A</v>
      </c>
    </row>
    <row r="159" spans="1:13" ht="13.5" customHeight="1">
      <c r="A159" s="98">
        <v>144</v>
      </c>
      <c r="B159" s="70">
        <v>29</v>
      </c>
      <c r="C159" s="132">
        <v>4</v>
      </c>
      <c r="D159" s="104" t="str">
        <f t="shared" si="4"/>
        <v>大阪A長田 智紀</v>
      </c>
      <c r="E159" s="104" t="str">
        <f t="shared" si="5"/>
        <v>滋賀乾 伸綱</v>
      </c>
      <c r="F159" s="71" t="str">
        <f>VLOOKUP(IF('ブロック表'!$D$16=9,ゲームNo!$C146,IF('ブロック表'!$D$16=10,ゲームNo!$I146,IF('ブロック表'!$D$16=11,ゲームNo!$O146,ゲームNo!$U146))),'ブロック表'!$A$4:$C$15,3,FALSE)</f>
        <v>滋賀</v>
      </c>
      <c r="G159" s="15" t="str">
        <f>VLOOKUP(IF('ブロック表'!$D$16=9,ゲームNo!$C146,IF('ブロック表'!$D$16=10,ゲームNo!$I146,IF('ブロック表'!$D$16=11,ゲームNo!$O146,ゲームNo!$U146))),'ブロック表'!$A$4:$N$15,11,FALSE)</f>
        <v>長田 智紀</v>
      </c>
      <c r="H159" s="82"/>
      <c r="I159" s="83">
        <v>18</v>
      </c>
      <c r="J159" s="84" t="s">
        <v>394</v>
      </c>
      <c r="K159" s="82"/>
      <c r="L159" s="21" t="str">
        <f>VLOOKUP(IF('ブロック表'!$D$16=9,ゲームNo!$D146,IF('ブロック表'!$D$16=10,ゲームNo!$J146,IF('ブロック表'!$D$16=11,ゲームNo!$P146,ゲームNo!$V146))),'ブロック表'!$A$4:$N$15,11,FALSE)</f>
        <v>乾 伸綱</v>
      </c>
      <c r="M159" s="72" t="str">
        <f>VLOOKUP(IF('ブロック表'!$D$16=9,ゲームNo!$D146,IF('ブロック表'!$D$16=10,ゲームNo!$J146,IF('ブロック表'!$D$16=11,ゲームNo!$P146,ゲームNo!$V146))),'ブロック表'!$A$4:$C$15,3,FALSE)</f>
        <v>大阪A</v>
      </c>
    </row>
    <row r="160" spans="1:13" ht="14.25" customHeight="1">
      <c r="A160" s="99">
        <v>145</v>
      </c>
      <c r="B160" s="73">
        <v>29</v>
      </c>
      <c r="C160" s="133">
        <v>5</v>
      </c>
      <c r="D160" s="105" t="str">
        <f t="shared" si="4"/>
        <v>大阪A大橋 正寛</v>
      </c>
      <c r="E160" s="105" t="str">
        <f t="shared" si="5"/>
        <v>滋賀山田 玄英</v>
      </c>
      <c r="F160" s="74" t="str">
        <f>VLOOKUP(IF('ブロック表'!$D$16=9,ゲームNo!$C147,IF('ブロック表'!$D$16=10,ゲームNo!$I147,IF('ブロック表'!$D$16=11,ゲームNo!$O147,ゲームNo!$U147))),'ブロック表'!$A$4:$C$15,3,FALSE)</f>
        <v>滋賀</v>
      </c>
      <c r="G160" s="17" t="str">
        <f>VLOOKUP(IF('ブロック表'!$D$16=9,ゲームNo!$C147,IF('ブロック表'!$D$16=10,ゲームNo!$I147,IF('ブロック表'!$D$16=11,ゲームNo!$O147,ゲームNo!$U147))),'ブロック表'!$A$4:$N$15,13,FALSE)</f>
        <v>大橋 正寛</v>
      </c>
      <c r="H160" s="85"/>
      <c r="I160" s="86">
        <v>0</v>
      </c>
      <c r="J160" s="87" t="s">
        <v>394</v>
      </c>
      <c r="K160" s="85">
        <v>115</v>
      </c>
      <c r="L160" s="22" t="str">
        <f>VLOOKUP(IF('ブロック表'!$D$16=9,ゲームNo!$D147,IF('ブロック表'!$D$16=10,ゲームNo!$J147,IF('ブロック表'!$D$16=11,ゲームNo!$P147,ゲームNo!$V147))),'ブロック表'!$A$4:$N$15,13,FALSE)</f>
        <v>山田 玄英</v>
      </c>
      <c r="M160" s="75" t="str">
        <f>VLOOKUP(IF('ブロック表'!$D$16=9,ゲームNo!$D147,IF('ブロック表'!$D$16=10,ゲームNo!$J147,IF('ブロック表'!$D$16=11,ゲームNo!$P147,ゲームNo!$V147))),'ブロック表'!$A$4:$C$15,3,FALSE)</f>
        <v>大阪A</v>
      </c>
    </row>
    <row r="161" spans="1:13" ht="13.5" customHeight="1">
      <c r="A161" s="97">
        <v>146</v>
      </c>
      <c r="B161" s="92">
        <v>30</v>
      </c>
      <c r="C161" s="131">
        <v>1</v>
      </c>
      <c r="D161" s="106" t="str">
        <f t="shared" si="4"/>
        <v>和歌山高木 俊行</v>
      </c>
      <c r="E161" s="106" t="str">
        <f t="shared" si="5"/>
        <v>兵庫岸上 賢一</v>
      </c>
      <c r="F161" s="76" t="str">
        <f>VLOOKUP(IF('ブロック表'!$D$16=9,ゲームNo!$C148,IF('ブロック表'!$D$16=10,ゲームNo!$I148,IF('ブロック表'!$D$16=11,ゲームNo!$O148,ゲームNo!$U148))),'ブロック表'!$A$4:$C$15,3,FALSE)</f>
        <v>兵庫</v>
      </c>
      <c r="G161" s="19" t="str">
        <f>VLOOKUP(IF('ブロック表'!$D$16=9,ゲームNo!$C148,IF('ブロック表'!$D$16=10,ゲームNo!$I148,IF('ブロック表'!$D$16=11,ゲームNo!$O148,ゲームNo!$U148))),'ブロック表'!$A$4:$N$15,5,FALSE)</f>
        <v>高木 俊行</v>
      </c>
      <c r="H161" s="88"/>
      <c r="I161" s="89" t="s">
        <v>396</v>
      </c>
      <c r="J161" s="90">
        <v>43</v>
      </c>
      <c r="K161" s="88"/>
      <c r="L161" s="20" t="str">
        <f>VLOOKUP(IF('ブロック表'!$D$16=9,ゲームNo!$D148,IF('ブロック表'!$D$16=10,ゲームNo!$J148,IF('ブロック表'!$D$16=11,ゲームNo!$P148,ゲームNo!$V148))),'ブロック表'!$A$4:$N$15,5,FALSE)</f>
        <v>岸上 賢一</v>
      </c>
      <c r="M161" s="93" t="str">
        <f>VLOOKUP(IF('ブロック表'!$D$16=9,ゲームNo!$D148,IF('ブロック表'!$D$16=10,ゲームNo!$J148,IF('ブロック表'!$D$16=11,ゲームNo!$P148,ゲームNo!$V148))),'ブロック表'!$A$4:$C$15,3,FALSE)</f>
        <v>和歌山</v>
      </c>
    </row>
    <row r="162" spans="1:13" ht="13.5" customHeight="1">
      <c r="A162" s="98">
        <v>147</v>
      </c>
      <c r="B162" s="70">
        <v>30</v>
      </c>
      <c r="C162" s="132">
        <v>2</v>
      </c>
      <c r="D162" s="104" t="str">
        <f t="shared" si="4"/>
        <v>和歌山堂園 雅也</v>
      </c>
      <c r="E162" s="104" t="str">
        <f t="shared" si="5"/>
        <v>兵庫末岡 修</v>
      </c>
      <c r="F162" s="71" t="str">
        <f>VLOOKUP(IF('ブロック表'!$D$16=9,ゲームNo!$C149,IF('ブロック表'!$D$16=10,ゲームNo!$I149,IF('ブロック表'!$D$16=11,ゲームNo!$O149,ゲームNo!$U149))),'ブロック表'!$A$4:$C$15,3,FALSE)</f>
        <v>兵庫</v>
      </c>
      <c r="G162" s="15" t="str">
        <f>VLOOKUP(IF('ブロック表'!$D$16=9,ゲームNo!$C149,IF('ブロック表'!$D$16=10,ゲームNo!$I149,IF('ブロック表'!$D$16=11,ゲームNo!$O149,ゲームNo!$U149))),'ブロック表'!$A$4:$N$15,7,FALSE)</f>
        <v>堂園 雅也</v>
      </c>
      <c r="H162" s="82"/>
      <c r="I162" s="83" t="s">
        <v>394</v>
      </c>
      <c r="J162" s="84">
        <v>112</v>
      </c>
      <c r="K162" s="82"/>
      <c r="L162" s="21" t="str">
        <f>VLOOKUP(IF('ブロック表'!$D$16=9,ゲームNo!$D149,IF('ブロック表'!$D$16=10,ゲームNo!$J149,IF('ブロック表'!$D$16=11,ゲームNo!$P149,ゲームNo!$V149))),'ブロック表'!$A$4:$N$15,7,FALSE)</f>
        <v>末岡 修</v>
      </c>
      <c r="M162" s="72" t="str">
        <f>VLOOKUP(IF('ブロック表'!$D$16=9,ゲームNo!$D149,IF('ブロック表'!$D$16=10,ゲームNo!$J149,IF('ブロック表'!$D$16=11,ゲームNo!$P149,ゲームNo!$V149))),'ブロック表'!$A$4:$C$15,3,FALSE)</f>
        <v>和歌山</v>
      </c>
    </row>
    <row r="163" spans="1:13" ht="13.5" customHeight="1">
      <c r="A163" s="98">
        <v>148</v>
      </c>
      <c r="B163" s="70">
        <v>30</v>
      </c>
      <c r="C163" s="132">
        <v>3</v>
      </c>
      <c r="D163" s="104" t="str">
        <f t="shared" si="4"/>
        <v>和歌山森 映智</v>
      </c>
      <c r="E163" s="104" t="str">
        <f t="shared" si="5"/>
        <v>兵庫杉本 博章</v>
      </c>
      <c r="F163" s="71" t="str">
        <f>VLOOKUP(IF('ブロック表'!$D$16=9,ゲームNo!$C150,IF('ブロック表'!$D$16=10,ゲームNo!$I150,IF('ブロック表'!$D$16=11,ゲームNo!$O150,ゲームNo!$U150))),'ブロック表'!$A$4:$C$15,3,FALSE)</f>
        <v>兵庫</v>
      </c>
      <c r="G163" s="15" t="str">
        <f>VLOOKUP(IF('ブロック表'!$D$16=9,ゲームNo!$C150,IF('ブロック表'!$D$16=10,ゲームNo!$I150,IF('ブロック表'!$D$16=11,ゲームNo!$O150,ゲームNo!$U150))),'ブロック表'!$A$4:$N$15,9,FALSE)</f>
        <v>森 映智</v>
      </c>
      <c r="H163" s="82"/>
      <c r="I163" s="83">
        <v>105</v>
      </c>
      <c r="J163" s="84" t="s">
        <v>394</v>
      </c>
      <c r="K163" s="82"/>
      <c r="L163" s="21" t="str">
        <f>VLOOKUP(IF('ブロック表'!$D$16=9,ゲームNo!$D150,IF('ブロック表'!$D$16=10,ゲームNo!$J150,IF('ブロック表'!$D$16=11,ゲームNo!$P150,ゲームNo!$V150))),'ブロック表'!$A$4:$N$15,9,FALSE)</f>
        <v>杉本 博章</v>
      </c>
      <c r="M163" s="72" t="str">
        <f>VLOOKUP(IF('ブロック表'!$D$16=9,ゲームNo!$D150,IF('ブロック表'!$D$16=10,ゲームNo!$J150,IF('ブロック表'!$D$16=11,ゲームNo!$P150,ゲームNo!$V150))),'ブロック表'!$A$4:$C$15,3,FALSE)</f>
        <v>和歌山</v>
      </c>
    </row>
    <row r="164" spans="1:13" ht="13.5" customHeight="1">
      <c r="A164" s="98">
        <v>149</v>
      </c>
      <c r="B164" s="70">
        <v>30</v>
      </c>
      <c r="C164" s="132">
        <v>4</v>
      </c>
      <c r="D164" s="104" t="str">
        <f t="shared" si="4"/>
        <v>和歌山白澤 雄一郎</v>
      </c>
      <c r="E164" s="104" t="str">
        <f t="shared" si="5"/>
        <v>兵庫丹次 力良</v>
      </c>
      <c r="F164" s="71" t="str">
        <f>VLOOKUP(IF('ブロック表'!$D$16=9,ゲームNo!$C151,IF('ブロック表'!$D$16=10,ゲームNo!$I151,IF('ブロック表'!$D$16=11,ゲームNo!$O151,ゲームNo!$U151))),'ブロック表'!$A$4:$C$15,3,FALSE)</f>
        <v>兵庫</v>
      </c>
      <c r="G164" s="15" t="str">
        <f>VLOOKUP(IF('ブロック表'!$D$16=9,ゲームNo!$C151,IF('ブロック表'!$D$16=10,ゲームNo!$I151,IF('ブロック表'!$D$16=11,ゲームNo!$O151,ゲームNo!$U151))),'ブロック表'!$A$4:$N$15,11,FALSE)</f>
        <v>白澤 雄一郎</v>
      </c>
      <c r="H164" s="82"/>
      <c r="I164" s="83" t="s">
        <v>394</v>
      </c>
      <c r="J164" s="84">
        <v>27</v>
      </c>
      <c r="K164" s="82"/>
      <c r="L164" s="21" t="str">
        <f>VLOOKUP(IF('ブロック表'!$D$16=9,ゲームNo!$D151,IF('ブロック表'!$D$16=10,ゲームNo!$J151,IF('ブロック表'!$D$16=11,ゲームNo!$P151,ゲームNo!$V151))),'ブロック表'!$A$4:$N$15,11,FALSE)</f>
        <v>丹次 力良</v>
      </c>
      <c r="M164" s="72" t="str">
        <f>VLOOKUP(IF('ブロック表'!$D$16=9,ゲームNo!$D151,IF('ブロック表'!$D$16=10,ゲームNo!$J151,IF('ブロック表'!$D$16=11,ゲームNo!$P151,ゲームNo!$V151))),'ブロック表'!$A$4:$C$15,3,FALSE)</f>
        <v>和歌山</v>
      </c>
    </row>
    <row r="165" spans="1:13" ht="14.25" customHeight="1">
      <c r="A165" s="99">
        <v>150</v>
      </c>
      <c r="B165" s="73">
        <v>30</v>
      </c>
      <c r="C165" s="133">
        <v>5</v>
      </c>
      <c r="D165" s="105" t="str">
        <f t="shared" si="4"/>
        <v>和歌山平井 洸志</v>
      </c>
      <c r="E165" s="105" t="str">
        <f t="shared" si="5"/>
        <v>兵庫和田 宗一郎</v>
      </c>
      <c r="F165" s="74" t="str">
        <f>VLOOKUP(IF('ブロック表'!$D$16=9,ゲームNo!$C152,IF('ブロック表'!$D$16=10,ゲームNo!$I152,IF('ブロック表'!$D$16=11,ゲームNo!$O152,ゲームNo!$U152))),'ブロック表'!$A$4:$C$15,3,FALSE)</f>
        <v>兵庫</v>
      </c>
      <c r="G165" s="17" t="str">
        <f>VLOOKUP(IF('ブロック表'!$D$16=9,ゲームNo!$C152,IF('ブロック表'!$D$16=10,ゲームNo!$I152,IF('ブロック表'!$D$16=11,ゲームNo!$O152,ゲームNo!$U152))),'ブロック表'!$A$4:$N$15,13,FALSE)</f>
        <v>平井 洸志</v>
      </c>
      <c r="H165" s="85"/>
      <c r="I165" s="86">
        <v>33</v>
      </c>
      <c r="J165" s="87" t="s">
        <v>400</v>
      </c>
      <c r="K165" s="85"/>
      <c r="L165" s="22" t="str">
        <f>VLOOKUP(IF('ブロック表'!$D$16=9,ゲームNo!$D152,IF('ブロック表'!$D$16=10,ゲームNo!$J152,IF('ブロック表'!$D$16=11,ゲームNo!$P152,ゲームNo!$V152))),'ブロック表'!$A$4:$N$15,13,FALSE)</f>
        <v>和田 宗一郎</v>
      </c>
      <c r="M165" s="75" t="str">
        <f>VLOOKUP(IF('ブロック表'!$D$16=9,ゲームNo!$D152,IF('ブロック表'!$D$16=10,ゲームNo!$J152,IF('ブロック表'!$D$16=11,ゲームNo!$P152,ゲームNo!$V152))),'ブロック表'!$A$4:$C$15,3,FALSE)</f>
        <v>和歌山</v>
      </c>
    </row>
    <row r="166" spans="1:13" ht="13.5" customHeight="1">
      <c r="A166" s="97">
        <v>151</v>
      </c>
      <c r="B166" s="92">
        <v>31</v>
      </c>
      <c r="C166" s="131">
        <v>1</v>
      </c>
      <c r="D166" s="106" t="str">
        <f t="shared" si="4"/>
        <v>岐阜水野 憲一</v>
      </c>
      <c r="E166" s="106" t="str">
        <f t="shared" si="5"/>
        <v>三重木村 隼人</v>
      </c>
      <c r="F166" s="76" t="str">
        <f>VLOOKUP(IF('ブロック表'!$D$16=9,ゲームNo!$C153,IF('ブロック表'!$D$16=10,ゲームNo!$I153,IF('ブロック表'!$D$16=11,ゲームNo!$O153,ゲームNo!$U153))),'ブロック表'!$A$4:$C$15,3,FALSE)</f>
        <v>三重</v>
      </c>
      <c r="G166" s="19" t="str">
        <f>VLOOKUP(IF('ブロック表'!$D$16=9,ゲームNo!$C153,IF('ブロック表'!$D$16=10,ゲームNo!$I153,IF('ブロック表'!$D$16=11,ゲームNo!$O153,ゲームNo!$U153))),'ブロック表'!$A$4:$N$15,5,FALSE)</f>
        <v>水野 憲一</v>
      </c>
      <c r="H166" s="88"/>
      <c r="I166" s="89" t="s">
        <v>394</v>
      </c>
      <c r="J166" s="90">
        <v>78</v>
      </c>
      <c r="K166" s="88"/>
      <c r="L166" s="20" t="str">
        <f>VLOOKUP(IF('ブロック表'!$D$16=9,ゲームNo!$D153,IF('ブロック表'!$D$16=10,ゲームNo!$J153,IF('ブロック表'!$D$16=11,ゲームNo!$P153,ゲームNo!$V153))),'ブロック表'!$A$4:$N$15,5,FALSE)</f>
        <v>木村 隼人</v>
      </c>
      <c r="M166" s="93" t="str">
        <f>VLOOKUP(IF('ブロック表'!$D$16=9,ゲームNo!$D153,IF('ブロック表'!$D$16=10,ゲームNo!$J153,IF('ブロック表'!$D$16=11,ゲームNo!$P153,ゲームNo!$V153))),'ブロック表'!$A$4:$C$15,3,FALSE)</f>
        <v>岐阜</v>
      </c>
    </row>
    <row r="167" spans="1:13" ht="13.5" customHeight="1">
      <c r="A167" s="98">
        <v>152</v>
      </c>
      <c r="B167" s="70">
        <v>31</v>
      </c>
      <c r="C167" s="132">
        <v>2</v>
      </c>
      <c r="D167" s="104" t="str">
        <f t="shared" si="4"/>
        <v>岐阜市川 裕貴</v>
      </c>
      <c r="E167" s="104" t="str">
        <f t="shared" si="5"/>
        <v>三重辻 和美</v>
      </c>
      <c r="F167" s="71" t="str">
        <f>VLOOKUP(IF('ブロック表'!$D$16=9,ゲームNo!$C154,IF('ブロック表'!$D$16=10,ゲームNo!$I154,IF('ブロック表'!$D$16=11,ゲームNo!$O154,ゲームNo!$U154))),'ブロック表'!$A$4:$C$15,3,FALSE)</f>
        <v>三重</v>
      </c>
      <c r="G167" s="15" t="str">
        <f>VLOOKUP(IF('ブロック表'!$D$16=9,ゲームNo!$C154,IF('ブロック表'!$D$16=10,ゲームNo!$I154,IF('ブロック表'!$D$16=11,ゲームNo!$O154,ゲームNo!$U154))),'ブロック表'!$A$4:$N$15,7,FALSE)</f>
        <v>市川 裕貴</v>
      </c>
      <c r="H167" s="82"/>
      <c r="I167" s="83" t="s">
        <v>394</v>
      </c>
      <c r="J167" s="84">
        <v>53</v>
      </c>
      <c r="K167" s="82"/>
      <c r="L167" s="21" t="str">
        <f>VLOOKUP(IF('ブロック表'!$D$16=9,ゲームNo!$D154,IF('ブロック表'!$D$16=10,ゲームNo!$J154,IF('ブロック表'!$D$16=11,ゲームNo!$P154,ゲームNo!$V154))),'ブロック表'!$A$4:$N$15,7,FALSE)</f>
        <v>辻 和美</v>
      </c>
      <c r="M167" s="72" t="str">
        <f>VLOOKUP(IF('ブロック表'!$D$16=9,ゲームNo!$D154,IF('ブロック表'!$D$16=10,ゲームNo!$J154,IF('ブロック表'!$D$16=11,ゲームNo!$P154,ゲームNo!$V154))),'ブロック表'!$A$4:$C$15,3,FALSE)</f>
        <v>岐阜</v>
      </c>
    </row>
    <row r="168" spans="1:13" ht="13.5" customHeight="1">
      <c r="A168" s="98">
        <v>153</v>
      </c>
      <c r="B168" s="70">
        <v>31</v>
      </c>
      <c r="C168" s="132">
        <v>3</v>
      </c>
      <c r="D168" s="104" t="str">
        <f t="shared" si="4"/>
        <v>岐阜黒宮 健二</v>
      </c>
      <c r="E168" s="104" t="str">
        <f t="shared" si="5"/>
        <v>三重徳永 修児</v>
      </c>
      <c r="F168" s="71" t="str">
        <f>VLOOKUP(IF('ブロック表'!$D$16=9,ゲームNo!$C155,IF('ブロック表'!$D$16=10,ゲームNo!$I155,IF('ブロック表'!$D$16=11,ゲームNo!$O155,ゲームNo!$U155))),'ブロック表'!$A$4:$C$15,3,FALSE)</f>
        <v>三重</v>
      </c>
      <c r="G168" s="15" t="str">
        <f>VLOOKUP(IF('ブロック表'!$D$16=9,ゲームNo!$C155,IF('ブロック表'!$D$16=10,ゲームNo!$I155,IF('ブロック表'!$D$16=11,ゲームNo!$O155,ゲームNo!$U155))),'ブロック表'!$A$4:$N$15,9,FALSE)</f>
        <v>黒宮 健二</v>
      </c>
      <c r="H168" s="82"/>
      <c r="I168" s="83">
        <v>78</v>
      </c>
      <c r="J168" s="84" t="s">
        <v>394</v>
      </c>
      <c r="K168" s="82"/>
      <c r="L168" s="21" t="str">
        <f>VLOOKUP(IF('ブロック表'!$D$16=9,ゲームNo!$D155,IF('ブロック表'!$D$16=10,ゲームNo!$J155,IF('ブロック表'!$D$16=11,ゲームNo!$P155,ゲームNo!$V155))),'ブロック表'!$A$4:$N$15,9,FALSE)</f>
        <v>徳永 修児</v>
      </c>
      <c r="M168" s="72" t="str">
        <f>VLOOKUP(IF('ブロック表'!$D$16=9,ゲームNo!$D155,IF('ブロック表'!$D$16=10,ゲームNo!$J155,IF('ブロック表'!$D$16=11,ゲームNo!$P155,ゲームNo!$V155))),'ブロック表'!$A$4:$C$15,3,FALSE)</f>
        <v>岐阜</v>
      </c>
    </row>
    <row r="169" spans="1:13" ht="13.5" customHeight="1">
      <c r="A169" s="98">
        <v>154</v>
      </c>
      <c r="B169" s="70">
        <v>31</v>
      </c>
      <c r="C169" s="132">
        <v>4</v>
      </c>
      <c r="D169" s="104" t="str">
        <f t="shared" si="4"/>
        <v>岐阜杉本 諭</v>
      </c>
      <c r="E169" s="104" t="str">
        <f t="shared" si="5"/>
        <v>三重高橋 浩之</v>
      </c>
      <c r="F169" s="71" t="str">
        <f>VLOOKUP(IF('ブロック表'!$D$16=9,ゲームNo!$C156,IF('ブロック表'!$D$16=10,ゲームNo!$I156,IF('ブロック表'!$D$16=11,ゲームNo!$O156,ゲームNo!$U156))),'ブロック表'!$A$4:$C$15,3,FALSE)</f>
        <v>三重</v>
      </c>
      <c r="G169" s="15" t="str">
        <f>VLOOKUP(IF('ブロック表'!$D$16=9,ゲームNo!$C156,IF('ブロック表'!$D$16=10,ゲームNo!$I156,IF('ブロック表'!$D$16=11,ゲームNo!$O156,ゲームNo!$U156))),'ブロック表'!$A$4:$N$15,11,FALSE)</f>
        <v>杉本 諭</v>
      </c>
      <c r="H169" s="82"/>
      <c r="I169" s="83" t="s">
        <v>394</v>
      </c>
      <c r="J169" s="84">
        <v>2</v>
      </c>
      <c r="K169" s="82"/>
      <c r="L169" s="21" t="str">
        <f>VLOOKUP(IF('ブロック表'!$D$16=9,ゲームNo!$D156,IF('ブロック表'!$D$16=10,ゲームNo!$J156,IF('ブロック表'!$D$16=11,ゲームNo!$P156,ゲームNo!$V156))),'ブロック表'!$A$4:$N$15,11,FALSE)</f>
        <v>高橋 浩之</v>
      </c>
      <c r="M169" s="72" t="str">
        <f>VLOOKUP(IF('ブロック表'!$D$16=9,ゲームNo!$D156,IF('ブロック表'!$D$16=10,ゲームNo!$J156,IF('ブロック表'!$D$16=11,ゲームNo!$P156,ゲームNo!$V156))),'ブロック表'!$A$4:$C$15,3,FALSE)</f>
        <v>岐阜</v>
      </c>
    </row>
    <row r="170" spans="1:13" ht="14.25" customHeight="1">
      <c r="A170" s="99">
        <v>155</v>
      </c>
      <c r="B170" s="73">
        <v>31</v>
      </c>
      <c r="C170" s="133">
        <v>5</v>
      </c>
      <c r="D170" s="105" t="str">
        <f t="shared" si="4"/>
        <v>岐阜森本 英幸</v>
      </c>
      <c r="E170" s="105" t="str">
        <f t="shared" si="5"/>
        <v>三重野原 朋和</v>
      </c>
      <c r="F170" s="74" t="str">
        <f>VLOOKUP(IF('ブロック表'!$D$16=9,ゲームNo!$C157,IF('ブロック表'!$D$16=10,ゲームNo!$I157,IF('ブロック表'!$D$16=11,ゲームNo!$O157,ゲームNo!$U157))),'ブロック表'!$A$4:$C$15,3,FALSE)</f>
        <v>三重</v>
      </c>
      <c r="G170" s="17" t="str">
        <f>VLOOKUP(IF('ブロック表'!$D$16=9,ゲームNo!$C157,IF('ブロック表'!$D$16=10,ゲームNo!$I157,IF('ブロック表'!$D$16=11,ゲームNo!$O157,ゲームNo!$U157))),'ブロック表'!$A$4:$N$15,13,FALSE)</f>
        <v>森本 英幸</v>
      </c>
      <c r="H170" s="85"/>
      <c r="I170" s="86" t="s">
        <v>394</v>
      </c>
      <c r="J170" s="87">
        <v>4</v>
      </c>
      <c r="K170" s="85"/>
      <c r="L170" s="22" t="str">
        <f>VLOOKUP(IF('ブロック表'!$D$16=9,ゲームNo!$D157,IF('ブロック表'!$D$16=10,ゲームNo!$J157,IF('ブロック表'!$D$16=11,ゲームNo!$P157,ゲームNo!$V157))),'ブロック表'!$A$4:$N$15,13,FALSE)</f>
        <v>野原 朋和</v>
      </c>
      <c r="M170" s="75" t="str">
        <f>VLOOKUP(IF('ブロック表'!$D$16=9,ゲームNo!$D157,IF('ブロック表'!$D$16=10,ゲームNo!$J157,IF('ブロック表'!$D$16=11,ゲームNo!$P157,ゲームNo!$V157))),'ブロック表'!$A$4:$C$15,3,FALSE)</f>
        <v>岐阜</v>
      </c>
    </row>
    <row r="171" spans="1:13" ht="13.5" customHeight="1">
      <c r="A171" s="97">
        <v>156</v>
      </c>
      <c r="B171" s="92">
        <v>32</v>
      </c>
      <c r="C171" s="131">
        <v>1</v>
      </c>
      <c r="D171" s="106" t="str">
        <f t="shared" si="4"/>
        <v>大阪B岩本 剛</v>
      </c>
      <c r="E171" s="106" t="str">
        <f t="shared" si="5"/>
        <v>奈良由本 拓</v>
      </c>
      <c r="F171" s="76" t="str">
        <f>VLOOKUP(IF('ブロック表'!$D$16=9,ゲームNo!$C158,IF('ブロック表'!$D$16=10,ゲームNo!$I158,IF('ブロック表'!$D$16=11,ゲームNo!$O158,ゲームNo!$U158))),'ブロック表'!$A$4:$C$15,3,FALSE)</f>
        <v>奈良</v>
      </c>
      <c r="G171" s="19" t="str">
        <f>VLOOKUP(IF('ブロック表'!$D$16=9,ゲームNo!$C158,IF('ブロック表'!$D$16=10,ゲームNo!$I158,IF('ブロック表'!$D$16=11,ゲームNo!$O158,ゲームNo!$U158))),'ブロック表'!$A$4:$N$15,5,FALSE)</f>
        <v>岩本 剛</v>
      </c>
      <c r="H171" s="88"/>
      <c r="I171" s="89">
        <v>23</v>
      </c>
      <c r="J171" s="90" t="s">
        <v>400</v>
      </c>
      <c r="K171" s="88"/>
      <c r="L171" s="20" t="str">
        <f>VLOOKUP(IF('ブロック表'!$D$16=9,ゲームNo!$D158,IF('ブロック表'!$D$16=10,ゲームNo!$J158,IF('ブロック表'!$D$16=11,ゲームNo!$P158,ゲームNo!$V158))),'ブロック表'!$A$4:$N$15,5,FALSE)</f>
        <v>由本 拓</v>
      </c>
      <c r="M171" s="93" t="str">
        <f>VLOOKUP(IF('ブロック表'!$D$16=9,ゲームNo!$D158,IF('ブロック表'!$D$16=10,ゲームNo!$J158,IF('ブロック表'!$D$16=11,ゲームNo!$P158,ゲームNo!$V158))),'ブロック表'!$A$4:$C$15,3,FALSE)</f>
        <v>大阪B</v>
      </c>
    </row>
    <row r="172" spans="1:13" ht="13.5" customHeight="1">
      <c r="A172" s="98">
        <v>157</v>
      </c>
      <c r="B172" s="70">
        <v>32</v>
      </c>
      <c r="C172" s="132">
        <v>2</v>
      </c>
      <c r="D172" s="104" t="str">
        <f t="shared" si="4"/>
        <v>大阪B水田 賢宏</v>
      </c>
      <c r="E172" s="104" t="str">
        <f t="shared" si="5"/>
        <v>奈良西田 恵子</v>
      </c>
      <c r="F172" s="71" t="str">
        <f>VLOOKUP(IF('ブロック表'!$D$16=9,ゲームNo!$C159,IF('ブロック表'!$D$16=10,ゲームNo!$I159,IF('ブロック表'!$D$16=11,ゲームNo!$O159,ゲームNo!$U159))),'ブロック表'!$A$4:$C$15,3,FALSE)</f>
        <v>奈良</v>
      </c>
      <c r="G172" s="15" t="str">
        <f>VLOOKUP(IF('ブロック表'!$D$16=9,ゲームNo!$C159,IF('ブロック表'!$D$16=10,ゲームNo!$I159,IF('ブロック表'!$D$16=11,ゲームNo!$O159,ゲームNo!$U159))),'ブロック表'!$A$4:$N$15,7,FALSE)</f>
        <v>水田 賢宏</v>
      </c>
      <c r="H172" s="82"/>
      <c r="I172" s="83">
        <v>95</v>
      </c>
      <c r="J172" s="84" t="s">
        <v>406</v>
      </c>
      <c r="K172" s="82"/>
      <c r="L172" s="21" t="str">
        <f>VLOOKUP(IF('ブロック表'!$D$16=9,ゲームNo!$D159,IF('ブロック表'!$D$16=10,ゲームNo!$J159,IF('ブロック表'!$D$16=11,ゲームNo!$P159,ゲームNo!$V159))),'ブロック表'!$A$4:$N$15,7,FALSE)</f>
        <v>西田 恵子</v>
      </c>
      <c r="M172" s="72" t="str">
        <f>VLOOKUP(IF('ブロック表'!$D$16=9,ゲームNo!$D159,IF('ブロック表'!$D$16=10,ゲームNo!$J159,IF('ブロック表'!$D$16=11,ゲームNo!$P159,ゲームNo!$V159))),'ブロック表'!$A$4:$C$15,3,FALSE)</f>
        <v>大阪B</v>
      </c>
    </row>
    <row r="173" spans="1:13" ht="13.5" customHeight="1">
      <c r="A173" s="98">
        <v>158</v>
      </c>
      <c r="B173" s="70">
        <v>32</v>
      </c>
      <c r="C173" s="132">
        <v>3</v>
      </c>
      <c r="D173" s="104" t="str">
        <f t="shared" si="4"/>
        <v>大阪B長谷川 進</v>
      </c>
      <c r="E173" s="104" t="str">
        <f t="shared" si="5"/>
        <v>奈良野村 宗司</v>
      </c>
      <c r="F173" s="71" t="str">
        <f>VLOOKUP(IF('ブロック表'!$D$16=9,ゲームNo!$C160,IF('ブロック表'!$D$16=10,ゲームNo!$I160,IF('ブロック表'!$D$16=11,ゲームNo!$O160,ゲームNo!$U160))),'ブロック表'!$A$4:$C$15,3,FALSE)</f>
        <v>奈良</v>
      </c>
      <c r="G173" s="15" t="str">
        <f>VLOOKUP(IF('ブロック表'!$D$16=9,ゲームNo!$C160,IF('ブロック表'!$D$16=10,ゲームNo!$I160,IF('ブロック表'!$D$16=11,ゲームNo!$O160,ゲームNo!$U160))),'ブロック表'!$A$4:$N$15,9,FALSE)</f>
        <v>長谷川 進</v>
      </c>
      <c r="H173" s="82"/>
      <c r="I173" s="83" t="s">
        <v>394</v>
      </c>
      <c r="J173" s="84">
        <v>96</v>
      </c>
      <c r="K173" s="82"/>
      <c r="L173" s="21" t="str">
        <f>VLOOKUP(IF('ブロック表'!$D$16=9,ゲームNo!$D160,IF('ブロック表'!$D$16=10,ゲームNo!$J160,IF('ブロック表'!$D$16=11,ゲームNo!$P160,ゲームNo!$V160))),'ブロック表'!$A$4:$N$15,9,FALSE)</f>
        <v>野村 宗司</v>
      </c>
      <c r="M173" s="72" t="str">
        <f>VLOOKUP(IF('ブロック表'!$D$16=9,ゲームNo!$D160,IF('ブロック表'!$D$16=10,ゲームNo!$J160,IF('ブロック表'!$D$16=11,ゲームNo!$P160,ゲームNo!$V160))),'ブロック表'!$A$4:$C$15,3,FALSE)</f>
        <v>大阪B</v>
      </c>
    </row>
    <row r="174" spans="1:13" ht="13.5" customHeight="1">
      <c r="A174" s="98">
        <v>159</v>
      </c>
      <c r="B174" s="70">
        <v>32</v>
      </c>
      <c r="C174" s="132">
        <v>4</v>
      </c>
      <c r="D174" s="104" t="str">
        <f t="shared" si="4"/>
        <v>大阪B植田 慎也</v>
      </c>
      <c r="E174" s="104" t="str">
        <f t="shared" si="5"/>
        <v>奈良山崎 真紀子</v>
      </c>
      <c r="F174" s="71" t="str">
        <f>VLOOKUP(IF('ブロック表'!$D$16=9,ゲームNo!$C161,IF('ブロック表'!$D$16=10,ゲームNo!$I161,IF('ブロック表'!$D$16=11,ゲームNo!$O161,ゲームNo!$U161))),'ブロック表'!$A$4:$C$15,3,FALSE)</f>
        <v>奈良</v>
      </c>
      <c r="G174" s="15" t="str">
        <f>VLOOKUP(IF('ブロック表'!$D$16=9,ゲームNo!$C161,IF('ブロック表'!$D$16=10,ゲームNo!$I161,IF('ブロック表'!$D$16=11,ゲームNo!$O161,ゲームNo!$U161))),'ブロック表'!$A$4:$N$15,11,FALSE)</f>
        <v>植田 慎也</v>
      </c>
      <c r="H174" s="82"/>
      <c r="I174" s="83">
        <v>64</v>
      </c>
      <c r="J174" s="84" t="s">
        <v>394</v>
      </c>
      <c r="K174" s="82"/>
      <c r="L174" s="21" t="str">
        <f>VLOOKUP(IF('ブロック表'!$D$16=9,ゲームNo!$D161,IF('ブロック表'!$D$16=10,ゲームNo!$J161,IF('ブロック表'!$D$16=11,ゲームNo!$P161,ゲームNo!$V161))),'ブロック表'!$A$4:$N$15,11,FALSE)</f>
        <v>山崎 真紀子</v>
      </c>
      <c r="M174" s="72" t="str">
        <f>VLOOKUP(IF('ブロック表'!$D$16=9,ゲームNo!$D161,IF('ブロック表'!$D$16=10,ゲームNo!$J161,IF('ブロック表'!$D$16=11,ゲームNo!$P161,ゲームNo!$V161))),'ブロック表'!$A$4:$C$15,3,FALSE)</f>
        <v>大阪B</v>
      </c>
    </row>
    <row r="175" spans="1:13" ht="14.25" customHeight="1">
      <c r="A175" s="99">
        <v>160</v>
      </c>
      <c r="B175" s="73">
        <v>32</v>
      </c>
      <c r="C175" s="133">
        <v>5</v>
      </c>
      <c r="D175" s="105" t="str">
        <f t="shared" si="4"/>
        <v>大阪B山田 晃司</v>
      </c>
      <c r="E175" s="105" t="str">
        <f t="shared" si="5"/>
        <v>奈良小森 雅昭</v>
      </c>
      <c r="F175" s="74" t="str">
        <f>VLOOKUP(IF('ブロック表'!$D$16=9,ゲームNo!$C162,IF('ブロック表'!$D$16=10,ゲームNo!$I162,IF('ブロック表'!$D$16=11,ゲームNo!$O162,ゲームNo!$U162))),'ブロック表'!$A$4:$C$15,3,FALSE)</f>
        <v>奈良</v>
      </c>
      <c r="G175" s="17" t="str">
        <f>VLOOKUP(IF('ブロック表'!$D$16=9,ゲームNo!$C162,IF('ブロック表'!$D$16=10,ゲームNo!$I162,IF('ブロック表'!$D$16=11,ゲームNo!$O162,ゲームNo!$U162))),'ブロック表'!$A$4:$N$15,13,FALSE)</f>
        <v>山田 晃司</v>
      </c>
      <c r="H175" s="85"/>
      <c r="I175" s="86">
        <v>68</v>
      </c>
      <c r="J175" s="87" t="s">
        <v>394</v>
      </c>
      <c r="K175" s="85"/>
      <c r="L175" s="22" t="str">
        <f>VLOOKUP(IF('ブロック表'!$D$16=9,ゲームNo!$D162,IF('ブロック表'!$D$16=10,ゲームNo!$J162,IF('ブロック表'!$D$16=11,ゲームNo!$P162,ゲームNo!$V162))),'ブロック表'!$A$4:$N$15,13,FALSE)</f>
        <v>小森 雅昭</v>
      </c>
      <c r="M175" s="75" t="str">
        <f>VLOOKUP(IF('ブロック表'!$D$16=9,ゲームNo!$D162,IF('ブロック表'!$D$16=10,ゲームNo!$J162,IF('ブロック表'!$D$16=11,ゲームNo!$P162,ゲームNo!$V162))),'ブロック表'!$A$4:$C$15,3,FALSE)</f>
        <v>大阪B</v>
      </c>
    </row>
    <row r="176" spans="1:13" ht="13.5" customHeight="1">
      <c r="A176" s="97">
        <v>161</v>
      </c>
      <c r="B176" s="92">
        <v>33</v>
      </c>
      <c r="C176" s="131">
        <v>1</v>
      </c>
      <c r="D176" s="106" t="str">
        <f t="shared" si="4"/>
        <v>愛知酒井 美希</v>
      </c>
      <c r="E176" s="106" t="str">
        <f t="shared" si="5"/>
        <v>滋賀小川 晃</v>
      </c>
      <c r="F176" s="76" t="str">
        <f>VLOOKUP(IF('ブロック表'!$D$16=9,ゲームNo!$C163,IF('ブロック表'!$D$16=10,ゲームNo!$I163,IF('ブロック表'!$D$16=11,ゲームNo!$O163,ゲームNo!$U163))),'ブロック表'!$A$4:$C$15,3,FALSE)</f>
        <v>滋賀</v>
      </c>
      <c r="G176" s="19" t="str">
        <f>VLOOKUP(IF('ブロック表'!$D$16=9,ゲームNo!$C163,IF('ブロック表'!$D$16=10,ゲームNo!$I163,IF('ブロック表'!$D$16=11,ゲームNo!$O163,ゲームNo!$U163))),'ブロック表'!$A$4:$N$15,5,FALSE)</f>
        <v>酒井 美希</v>
      </c>
      <c r="H176" s="88"/>
      <c r="I176" s="89" t="s">
        <v>394</v>
      </c>
      <c r="J176" s="90">
        <v>35</v>
      </c>
      <c r="K176" s="88"/>
      <c r="L176" s="20" t="str">
        <f>VLOOKUP(IF('ブロック表'!$D$16=9,ゲームNo!$D163,IF('ブロック表'!$D$16=10,ゲームNo!$J163,IF('ブロック表'!$D$16=11,ゲームNo!$P163,ゲームNo!$V163))),'ブロック表'!$A$4:$N$15,5,FALSE)</f>
        <v>小川 晃</v>
      </c>
      <c r="M176" s="93" t="str">
        <f>VLOOKUP(IF('ブロック表'!$D$16=9,ゲームNo!$D163,IF('ブロック表'!$D$16=10,ゲームNo!$J163,IF('ブロック表'!$D$16=11,ゲームNo!$P163,ゲームNo!$V163))),'ブロック表'!$A$4:$C$15,3,FALSE)</f>
        <v>愛知</v>
      </c>
    </row>
    <row r="177" spans="1:13" ht="13.5" customHeight="1">
      <c r="A177" s="98">
        <v>162</v>
      </c>
      <c r="B177" s="70">
        <v>33</v>
      </c>
      <c r="C177" s="132">
        <v>2</v>
      </c>
      <c r="D177" s="104" t="str">
        <f t="shared" si="4"/>
        <v>愛知大橋 義治</v>
      </c>
      <c r="E177" s="104" t="str">
        <f t="shared" si="5"/>
        <v>滋賀櫻井 崇之</v>
      </c>
      <c r="F177" s="71" t="str">
        <f>VLOOKUP(IF('ブロック表'!$D$16=9,ゲームNo!$C164,IF('ブロック表'!$D$16=10,ゲームNo!$I164,IF('ブロック表'!$D$16=11,ゲームNo!$O164,ゲームNo!$U164))),'ブロック表'!$A$4:$C$15,3,FALSE)</f>
        <v>滋賀</v>
      </c>
      <c r="G177" s="15" t="str">
        <f>VLOOKUP(IF('ブロック表'!$D$16=9,ゲームNo!$C164,IF('ブロック表'!$D$16=10,ゲームNo!$I164,IF('ブロック表'!$D$16=11,ゲームNo!$O164,ゲームNo!$U164))),'ブロック表'!$A$4:$N$15,7,FALSE)</f>
        <v>大橋 義治</v>
      </c>
      <c r="H177" s="82"/>
      <c r="I177" s="83" t="s">
        <v>394</v>
      </c>
      <c r="J177" s="84">
        <v>107</v>
      </c>
      <c r="K177" s="82"/>
      <c r="L177" s="21" t="str">
        <f>VLOOKUP(IF('ブロック表'!$D$16=9,ゲームNo!$D164,IF('ブロック表'!$D$16=10,ゲームNo!$J164,IF('ブロック表'!$D$16=11,ゲームNo!$P164,ゲームNo!$V164))),'ブロック表'!$A$4:$N$15,7,FALSE)</f>
        <v>櫻井 崇之</v>
      </c>
      <c r="M177" s="72" t="str">
        <f>VLOOKUP(IF('ブロック表'!$D$16=9,ゲームNo!$D164,IF('ブロック表'!$D$16=10,ゲームNo!$J164,IF('ブロック表'!$D$16=11,ゲームNo!$P164,ゲームNo!$V164))),'ブロック表'!$A$4:$C$15,3,FALSE)</f>
        <v>愛知</v>
      </c>
    </row>
    <row r="178" spans="1:13" ht="13.5" customHeight="1">
      <c r="A178" s="98">
        <v>163</v>
      </c>
      <c r="B178" s="70">
        <v>33</v>
      </c>
      <c r="C178" s="132">
        <v>3</v>
      </c>
      <c r="D178" s="104" t="str">
        <f t="shared" si="4"/>
        <v>愛知西峰 久祐</v>
      </c>
      <c r="E178" s="104" t="str">
        <f t="shared" si="5"/>
        <v>滋賀野田 絢也</v>
      </c>
      <c r="F178" s="71" t="str">
        <f>VLOOKUP(IF('ブロック表'!$D$16=9,ゲームNo!$C165,IF('ブロック表'!$D$16=10,ゲームNo!$I165,IF('ブロック表'!$D$16=11,ゲームNo!$O165,ゲームNo!$U165))),'ブロック表'!$A$4:$C$15,3,FALSE)</f>
        <v>滋賀</v>
      </c>
      <c r="G178" s="15" t="str">
        <f>VLOOKUP(IF('ブロック表'!$D$16=9,ゲームNo!$C165,IF('ブロック表'!$D$16=10,ゲームNo!$I165,IF('ブロック表'!$D$16=11,ゲームNo!$O165,ゲームNo!$U165))),'ブロック表'!$A$4:$N$15,9,FALSE)</f>
        <v>西峰 久祐</v>
      </c>
      <c r="H178" s="82"/>
      <c r="I178" s="83">
        <v>32</v>
      </c>
      <c r="J178" s="84" t="s">
        <v>394</v>
      </c>
      <c r="K178" s="82"/>
      <c r="L178" s="21" t="str">
        <f>VLOOKUP(IF('ブロック表'!$D$16=9,ゲームNo!$D165,IF('ブロック表'!$D$16=10,ゲームNo!$J165,IF('ブロック表'!$D$16=11,ゲームNo!$P165,ゲームNo!$V165))),'ブロック表'!$A$4:$N$15,9,FALSE)</f>
        <v>野田 絢也</v>
      </c>
      <c r="M178" s="72" t="str">
        <f>VLOOKUP(IF('ブロック表'!$D$16=9,ゲームNo!$D165,IF('ブロック表'!$D$16=10,ゲームNo!$J165,IF('ブロック表'!$D$16=11,ゲームNo!$P165,ゲームNo!$V165))),'ブロック表'!$A$4:$C$15,3,FALSE)</f>
        <v>愛知</v>
      </c>
    </row>
    <row r="179" spans="1:13" ht="13.5" customHeight="1">
      <c r="A179" s="98">
        <v>164</v>
      </c>
      <c r="B179" s="70">
        <v>33</v>
      </c>
      <c r="C179" s="132">
        <v>4</v>
      </c>
      <c r="D179" s="104" t="str">
        <f t="shared" si="4"/>
        <v>愛知長田 智紀</v>
      </c>
      <c r="E179" s="104" t="str">
        <f t="shared" si="5"/>
        <v>滋賀近藤 智靖</v>
      </c>
      <c r="F179" s="71" t="str">
        <f>VLOOKUP(IF('ブロック表'!$D$16=9,ゲームNo!$C166,IF('ブロック表'!$D$16=10,ゲームNo!$I166,IF('ブロック表'!$D$16=11,ゲームNo!$O166,ゲームNo!$U166))),'ブロック表'!$A$4:$C$15,3,FALSE)</f>
        <v>滋賀</v>
      </c>
      <c r="G179" s="15" t="str">
        <f>VLOOKUP(IF('ブロック表'!$D$16=9,ゲームNo!$C166,IF('ブロック表'!$D$16=10,ゲームNo!$I166,IF('ブロック表'!$D$16=11,ゲームNo!$O166,ゲームNo!$U166))),'ブロック表'!$A$4:$N$15,11,FALSE)</f>
        <v>長田 智紀</v>
      </c>
      <c r="H179" s="82"/>
      <c r="I179" s="83">
        <v>84</v>
      </c>
      <c r="J179" s="84" t="s">
        <v>394</v>
      </c>
      <c r="K179" s="82"/>
      <c r="L179" s="21" t="str">
        <f>VLOOKUP(IF('ブロック表'!$D$16=9,ゲームNo!$D166,IF('ブロック表'!$D$16=10,ゲームNo!$J166,IF('ブロック表'!$D$16=11,ゲームNo!$P166,ゲームNo!$V166))),'ブロック表'!$A$4:$N$15,11,FALSE)</f>
        <v>近藤 智靖</v>
      </c>
      <c r="M179" s="72" t="str">
        <f>VLOOKUP(IF('ブロック表'!$D$16=9,ゲームNo!$D166,IF('ブロック表'!$D$16=10,ゲームNo!$J166,IF('ブロック表'!$D$16=11,ゲームNo!$P166,ゲームNo!$V166))),'ブロック表'!$A$4:$C$15,3,FALSE)</f>
        <v>愛知</v>
      </c>
    </row>
    <row r="180" spans="1:13" ht="14.25" customHeight="1">
      <c r="A180" s="99">
        <v>165</v>
      </c>
      <c r="B180" s="73">
        <v>33</v>
      </c>
      <c r="C180" s="133">
        <v>5</v>
      </c>
      <c r="D180" s="105" t="str">
        <f t="shared" si="4"/>
        <v>愛知大橋 正寛</v>
      </c>
      <c r="E180" s="105" t="str">
        <f t="shared" si="5"/>
        <v>滋賀島田 隆嗣</v>
      </c>
      <c r="F180" s="74" t="str">
        <f>VLOOKUP(IF('ブロック表'!$D$16=9,ゲームNo!$C167,IF('ブロック表'!$D$16=10,ゲームNo!$I167,IF('ブロック表'!$D$16=11,ゲームNo!$O167,ゲームNo!$U167))),'ブロック表'!$A$4:$C$15,3,FALSE)</f>
        <v>滋賀</v>
      </c>
      <c r="G180" s="17" t="str">
        <f>VLOOKUP(IF('ブロック表'!$D$16=9,ゲームNo!$C167,IF('ブロック表'!$D$16=10,ゲームNo!$I167,IF('ブロック表'!$D$16=11,ゲームNo!$O167,ゲームNo!$U167))),'ブロック表'!$A$4:$N$15,13,FALSE)</f>
        <v>大橋 正寛</v>
      </c>
      <c r="H180" s="85"/>
      <c r="I180" s="86" t="s">
        <v>394</v>
      </c>
      <c r="J180" s="87">
        <v>63</v>
      </c>
      <c r="K180" s="85"/>
      <c r="L180" s="22" t="str">
        <f>VLOOKUP(IF('ブロック表'!$D$16=9,ゲームNo!$D167,IF('ブロック表'!$D$16=10,ゲームNo!$J167,IF('ブロック表'!$D$16=11,ゲームNo!$P167,ゲームNo!$V167))),'ブロック表'!$A$4:$N$15,13,FALSE)</f>
        <v>島田 隆嗣</v>
      </c>
      <c r="M180" s="75" t="str">
        <f>VLOOKUP(IF('ブロック表'!$D$16=9,ゲームNo!$D167,IF('ブロック表'!$D$16=10,ゲームNo!$J167,IF('ブロック表'!$D$16=11,ゲームNo!$P167,ゲームNo!$V167))),'ブロック表'!$A$4:$C$15,3,FALSE)</f>
        <v>愛知</v>
      </c>
    </row>
    <row r="181" spans="1:13" ht="13.5" customHeight="1">
      <c r="A181" s="223">
        <v>166</v>
      </c>
      <c r="B181" s="70">
        <v>34</v>
      </c>
      <c r="C181" s="224">
        <v>1</v>
      </c>
      <c r="D181" s="104" t="str">
        <f t="shared" si="4"/>
        <v>京都岸上 賢一</v>
      </c>
      <c r="E181" s="104" t="str">
        <f t="shared" si="5"/>
        <v>和歌山今村 哲也</v>
      </c>
      <c r="F181" s="225" t="str">
        <f>VLOOKUP(IF('ブロック表'!$D$16=9,ゲームNo!$C168,IF('ブロック表'!$D$16=10,ゲームNo!$I168,IF('ブロック表'!$D$16=11,ゲームNo!$O168,ゲームNo!$U168))),'ブロック表'!$A$4:$C$15,3,FALSE)</f>
        <v>和歌山</v>
      </c>
      <c r="G181" s="226" t="str">
        <f>VLOOKUP(IF('ブロック表'!$D$16=9,ゲームNo!$C168,IF('ブロック表'!$D$16=10,ゲームNo!$I168,IF('ブロック表'!$D$16=11,ゲームNo!$O168,ゲームNo!$U168))),'ブロック表'!$A$4:$N$15,5,FALSE)</f>
        <v>岸上 賢一</v>
      </c>
      <c r="H181" s="227"/>
      <c r="I181" s="228">
        <v>24</v>
      </c>
      <c r="J181" s="229" t="s">
        <v>394</v>
      </c>
      <c r="K181" s="227"/>
      <c r="L181" s="230" t="str">
        <f>VLOOKUP(IF('ブロック表'!$D$16=9,ゲームNo!$D168,IF('ブロック表'!$D$16=10,ゲームNo!$J168,IF('ブロック表'!$D$16=11,ゲームNo!$P168,ゲームNo!$V168))),'ブロック表'!$A$4:$N$15,5,FALSE)</f>
        <v>今村 哲也</v>
      </c>
      <c r="M181" s="231" t="str">
        <f>VLOOKUP(IF('ブロック表'!$D$16=9,ゲームNo!$D168,IF('ブロック表'!$D$16=10,ゲームNo!$J168,IF('ブロック表'!$D$16=11,ゲームNo!$P168,ゲームNo!$V168))),'ブロック表'!$A$4:$C$15,3,FALSE)</f>
        <v>京都</v>
      </c>
    </row>
    <row r="182" spans="1:13" ht="13.5" customHeight="1">
      <c r="A182" s="98">
        <v>167</v>
      </c>
      <c r="B182" s="70">
        <v>34</v>
      </c>
      <c r="C182" s="132">
        <v>2</v>
      </c>
      <c r="D182" s="104" t="str">
        <f t="shared" si="4"/>
        <v>京都末岡 修</v>
      </c>
      <c r="E182" s="104" t="str">
        <f t="shared" si="5"/>
        <v>和歌山田附 裕次</v>
      </c>
      <c r="F182" s="71" t="str">
        <f>VLOOKUP(IF('ブロック表'!$D$16=9,ゲームNo!$C169,IF('ブロック表'!$D$16=10,ゲームNo!$I169,IF('ブロック表'!$D$16=11,ゲームNo!$O169,ゲームNo!$U169))),'ブロック表'!$A$4:$C$15,3,FALSE)</f>
        <v>和歌山</v>
      </c>
      <c r="G182" s="15" t="str">
        <f>VLOOKUP(IF('ブロック表'!$D$16=9,ゲームNo!$C169,IF('ブロック表'!$D$16=10,ゲームNo!$I169,IF('ブロック表'!$D$16=11,ゲームNo!$O169,ゲームNo!$U169))),'ブロック表'!$A$4:$N$15,7,FALSE)</f>
        <v>末岡 修</v>
      </c>
      <c r="H182" s="82"/>
      <c r="I182" s="83">
        <v>27</v>
      </c>
      <c r="J182" s="84" t="s">
        <v>394</v>
      </c>
      <c r="K182" s="82"/>
      <c r="L182" s="21" t="str">
        <f>VLOOKUP(IF('ブロック表'!$D$16=9,ゲームNo!$D169,IF('ブロック表'!$D$16=10,ゲームNo!$J169,IF('ブロック表'!$D$16=11,ゲームNo!$P169,ゲームNo!$V169))),'ブロック表'!$A$4:$N$15,7,FALSE)</f>
        <v>田附 裕次</v>
      </c>
      <c r="M182" s="72" t="str">
        <f>VLOOKUP(IF('ブロック表'!$D$16=9,ゲームNo!$D169,IF('ブロック表'!$D$16=10,ゲームNo!$J169,IF('ブロック表'!$D$16=11,ゲームNo!$P169,ゲームNo!$V169))),'ブロック表'!$A$4:$C$15,3,FALSE)</f>
        <v>京都</v>
      </c>
    </row>
    <row r="183" spans="1:13" ht="13.5" customHeight="1">
      <c r="A183" s="98">
        <v>168</v>
      </c>
      <c r="B183" s="70">
        <v>34</v>
      </c>
      <c r="C183" s="132">
        <v>3</v>
      </c>
      <c r="D183" s="104" t="str">
        <f t="shared" si="4"/>
        <v>京都杉本 博章</v>
      </c>
      <c r="E183" s="104" t="str">
        <f t="shared" si="5"/>
        <v>和歌山佐藤 雄吾</v>
      </c>
      <c r="F183" s="71" t="str">
        <f>VLOOKUP(IF('ブロック表'!$D$16=9,ゲームNo!$C170,IF('ブロック表'!$D$16=10,ゲームNo!$I170,IF('ブロック表'!$D$16=11,ゲームNo!$O170,ゲームNo!$U170))),'ブロック表'!$A$4:$C$15,3,FALSE)</f>
        <v>和歌山</v>
      </c>
      <c r="G183" s="15" t="str">
        <f>VLOOKUP(IF('ブロック表'!$D$16=9,ゲームNo!$C170,IF('ブロック表'!$D$16=10,ゲームNo!$I170,IF('ブロック表'!$D$16=11,ゲームNo!$O170,ゲームNo!$U170))),'ブロック表'!$A$4:$N$15,9,FALSE)</f>
        <v>杉本 博章</v>
      </c>
      <c r="H183" s="82"/>
      <c r="I183" s="83">
        <v>85</v>
      </c>
      <c r="J183" s="84" t="s">
        <v>394</v>
      </c>
      <c r="K183" s="82"/>
      <c r="L183" s="21" t="str">
        <f>VLOOKUP(IF('ブロック表'!$D$16=9,ゲームNo!$D170,IF('ブロック表'!$D$16=10,ゲームNo!$J170,IF('ブロック表'!$D$16=11,ゲームNo!$P170,ゲームNo!$V170))),'ブロック表'!$A$4:$N$15,9,FALSE)</f>
        <v>佐藤 雄吾</v>
      </c>
      <c r="M183" s="72" t="str">
        <f>VLOOKUP(IF('ブロック表'!$D$16=9,ゲームNo!$D170,IF('ブロック表'!$D$16=10,ゲームNo!$J170,IF('ブロック表'!$D$16=11,ゲームNo!$P170,ゲームNo!$V170))),'ブロック表'!$A$4:$C$15,3,FALSE)</f>
        <v>京都</v>
      </c>
    </row>
    <row r="184" spans="1:13" ht="13.5" customHeight="1">
      <c r="A184" s="98">
        <v>169</v>
      </c>
      <c r="B184" s="70">
        <v>34</v>
      </c>
      <c r="C184" s="132">
        <v>4</v>
      </c>
      <c r="D184" s="104" t="str">
        <f t="shared" si="4"/>
        <v>京都丹次 力良</v>
      </c>
      <c r="E184" s="104" t="str">
        <f t="shared" si="5"/>
        <v>和歌山加藤 秀万</v>
      </c>
      <c r="F184" s="71" t="str">
        <f>VLOOKUP(IF('ブロック表'!$D$16=9,ゲームNo!$C171,IF('ブロック表'!$D$16=10,ゲームNo!$I171,IF('ブロック表'!$D$16=11,ゲームNo!$O171,ゲームNo!$U171))),'ブロック表'!$A$4:$C$15,3,FALSE)</f>
        <v>和歌山</v>
      </c>
      <c r="G184" s="15" t="str">
        <f>VLOOKUP(IF('ブロック表'!$D$16=9,ゲームNo!$C171,IF('ブロック表'!$D$16=10,ゲームNo!$I171,IF('ブロック表'!$D$16=11,ゲームNo!$O171,ゲームNo!$U171))),'ブロック表'!$A$4:$N$15,11,FALSE)</f>
        <v>丹次 力良</v>
      </c>
      <c r="H184" s="82"/>
      <c r="I184" s="83">
        <v>47</v>
      </c>
      <c r="J184" s="84" t="s">
        <v>396</v>
      </c>
      <c r="K184" s="82"/>
      <c r="L184" s="21" t="str">
        <f>VLOOKUP(IF('ブロック表'!$D$16=9,ゲームNo!$D171,IF('ブロック表'!$D$16=10,ゲームNo!$J171,IF('ブロック表'!$D$16=11,ゲームNo!$P171,ゲームNo!$V171))),'ブロック表'!$A$4:$N$15,11,FALSE)</f>
        <v>加藤 秀万</v>
      </c>
      <c r="M184" s="72" t="str">
        <f>VLOOKUP(IF('ブロック表'!$D$16=9,ゲームNo!$D171,IF('ブロック表'!$D$16=10,ゲームNo!$J171,IF('ブロック表'!$D$16=11,ゲームNo!$P171,ゲームNo!$V171))),'ブロック表'!$A$4:$C$15,3,FALSE)</f>
        <v>京都</v>
      </c>
    </row>
    <row r="185" spans="1:13" ht="14.25" customHeight="1">
      <c r="A185" s="99">
        <v>170</v>
      </c>
      <c r="B185" s="73">
        <v>34</v>
      </c>
      <c r="C185" s="133">
        <v>5</v>
      </c>
      <c r="D185" s="105" t="str">
        <f t="shared" si="4"/>
        <v>京都和田 宗一郎</v>
      </c>
      <c r="E185" s="105" t="str">
        <f t="shared" si="5"/>
        <v>和歌山山下 直生</v>
      </c>
      <c r="F185" s="74" t="str">
        <f>VLOOKUP(IF('ブロック表'!$D$16=9,ゲームNo!$C172,IF('ブロック表'!$D$16=10,ゲームNo!$I172,IF('ブロック表'!$D$16=11,ゲームNo!$O172,ゲームNo!$U172))),'ブロック表'!$A$4:$C$15,3,FALSE)</f>
        <v>和歌山</v>
      </c>
      <c r="G185" s="17" t="str">
        <f>VLOOKUP(IF('ブロック表'!$D$16=9,ゲームNo!$C172,IF('ブロック表'!$D$16=10,ゲームNo!$I172,IF('ブロック表'!$D$16=11,ゲームNo!$O172,ゲームNo!$U172))),'ブロック表'!$A$4:$N$15,13,FALSE)</f>
        <v>和田 宗一郎</v>
      </c>
      <c r="H185" s="85"/>
      <c r="I185" s="86" t="s">
        <v>394</v>
      </c>
      <c r="J185" s="87">
        <v>78</v>
      </c>
      <c r="K185" s="85"/>
      <c r="L185" s="22" t="str">
        <f>VLOOKUP(IF('ブロック表'!$D$16=9,ゲームNo!$D172,IF('ブロック表'!$D$16=10,ゲームNo!$J172,IF('ブロック表'!$D$16=11,ゲームNo!$P172,ゲームNo!$V172))),'ブロック表'!$A$4:$N$15,13,FALSE)</f>
        <v>山下 直生</v>
      </c>
      <c r="M185" s="75" t="str">
        <f>VLOOKUP(IF('ブロック表'!$D$16=9,ゲームNo!$D172,IF('ブロック表'!$D$16=10,ゲームNo!$J172,IF('ブロック表'!$D$16=11,ゲームNo!$P172,ゲームNo!$V172))),'ブロック表'!$A$4:$C$15,3,FALSE)</f>
        <v>京都</v>
      </c>
    </row>
    <row r="186" spans="1:13" ht="13.5" customHeight="1">
      <c r="A186" s="97">
        <v>171</v>
      </c>
      <c r="B186" s="92">
        <v>35</v>
      </c>
      <c r="C186" s="131">
        <v>1</v>
      </c>
      <c r="D186" s="106" t="str">
        <f t="shared" si="4"/>
        <v>大阪A高木 俊行</v>
      </c>
      <c r="E186" s="106" t="str">
        <f t="shared" si="5"/>
        <v>兵庫村上 泰辰</v>
      </c>
      <c r="F186" s="76" t="str">
        <f>VLOOKUP(IF('ブロック表'!$D$16=9,ゲームNo!$C173,IF('ブロック表'!$D$16=10,ゲームNo!$I173,IF('ブロック表'!$D$16=11,ゲームNo!$O173,ゲームNo!$U173))),'ブロック表'!$A$4:$C$15,3,FALSE)</f>
        <v>兵庫</v>
      </c>
      <c r="G186" s="19" t="str">
        <f>VLOOKUP(IF('ブロック表'!$D$16=9,ゲームNo!$C173,IF('ブロック表'!$D$16=10,ゲームNo!$I173,IF('ブロック表'!$D$16=11,ゲームNo!$O173,ゲームNo!$U173))),'ブロック表'!$A$4:$N$15,5,FALSE)</f>
        <v>高木 俊行</v>
      </c>
      <c r="H186" s="88"/>
      <c r="I186" s="89" t="s">
        <v>394</v>
      </c>
      <c r="J186" s="90">
        <v>8</v>
      </c>
      <c r="K186" s="88"/>
      <c r="L186" s="20" t="str">
        <f>VLOOKUP(IF('ブロック表'!$D$16=9,ゲームNo!$D173,IF('ブロック表'!$D$16=10,ゲームNo!$J173,IF('ブロック表'!$D$16=11,ゲームNo!$P173,ゲームNo!$V173))),'ブロック表'!$A$4:$N$15,5,FALSE)</f>
        <v>村上 泰辰</v>
      </c>
      <c r="M186" s="93" t="str">
        <f>VLOOKUP(IF('ブロック表'!$D$16=9,ゲームNo!$D173,IF('ブロック表'!$D$16=10,ゲームNo!$J173,IF('ブロック表'!$D$16=11,ゲームNo!$P173,ゲームNo!$V173))),'ブロック表'!$A$4:$C$15,3,FALSE)</f>
        <v>大阪A</v>
      </c>
    </row>
    <row r="187" spans="1:13" ht="13.5" customHeight="1">
      <c r="A187" s="98">
        <v>172</v>
      </c>
      <c r="B187" s="70">
        <v>35</v>
      </c>
      <c r="C187" s="132">
        <v>2</v>
      </c>
      <c r="D187" s="104" t="str">
        <f t="shared" si="4"/>
        <v>大阪A堂園 雅也</v>
      </c>
      <c r="E187" s="104" t="str">
        <f t="shared" si="5"/>
        <v>兵庫山岡 修二</v>
      </c>
      <c r="F187" s="71" t="str">
        <f>VLOOKUP(IF('ブロック表'!$D$16=9,ゲームNo!$C174,IF('ブロック表'!$D$16=10,ゲームNo!$I174,IF('ブロック表'!$D$16=11,ゲームNo!$O174,ゲームNo!$U174))),'ブロック表'!$A$4:$C$15,3,FALSE)</f>
        <v>兵庫</v>
      </c>
      <c r="G187" s="15" t="str">
        <f>VLOOKUP(IF('ブロック表'!$D$16=9,ゲームNo!$C174,IF('ブロック表'!$D$16=10,ゲームNo!$I174,IF('ブロック表'!$D$16=11,ゲームNo!$O174,ゲームNo!$U174))),'ブロック表'!$A$4:$N$15,7,FALSE)</f>
        <v>堂園 雅也</v>
      </c>
      <c r="H187" s="82"/>
      <c r="I187" s="83" t="s">
        <v>394</v>
      </c>
      <c r="J187" s="84">
        <v>45</v>
      </c>
      <c r="K187" s="82"/>
      <c r="L187" s="21" t="str">
        <f>VLOOKUP(IF('ブロック表'!$D$16=9,ゲームNo!$D174,IF('ブロック表'!$D$16=10,ゲームNo!$J174,IF('ブロック表'!$D$16=11,ゲームNo!$P174,ゲームNo!$V174))),'ブロック表'!$A$4:$N$15,7,FALSE)</f>
        <v>山岡 修二</v>
      </c>
      <c r="M187" s="72" t="str">
        <f>VLOOKUP(IF('ブロック表'!$D$16=9,ゲームNo!$D174,IF('ブロック表'!$D$16=10,ゲームNo!$J174,IF('ブロック表'!$D$16=11,ゲームNo!$P174,ゲームNo!$V174))),'ブロック表'!$A$4:$C$15,3,FALSE)</f>
        <v>大阪A</v>
      </c>
    </row>
    <row r="188" spans="1:13" ht="13.5" customHeight="1">
      <c r="A188" s="98">
        <v>173</v>
      </c>
      <c r="B188" s="70">
        <v>35</v>
      </c>
      <c r="C188" s="132">
        <v>3</v>
      </c>
      <c r="D188" s="104" t="str">
        <f t="shared" si="4"/>
        <v>大阪A森 映智</v>
      </c>
      <c r="E188" s="104" t="str">
        <f t="shared" si="5"/>
        <v>兵庫吉岡 保俊</v>
      </c>
      <c r="F188" s="71" t="str">
        <f>VLOOKUP(IF('ブロック表'!$D$16=9,ゲームNo!$C175,IF('ブロック表'!$D$16=10,ゲームNo!$I175,IF('ブロック表'!$D$16=11,ゲームNo!$O175,ゲームNo!$U175))),'ブロック表'!$A$4:$C$15,3,FALSE)</f>
        <v>兵庫</v>
      </c>
      <c r="G188" s="15" t="str">
        <f>VLOOKUP(IF('ブロック表'!$D$16=9,ゲームNo!$C175,IF('ブロック表'!$D$16=10,ゲームNo!$I175,IF('ブロック表'!$D$16=11,ゲームNo!$O175,ゲームNo!$U175))),'ブロック表'!$A$4:$N$15,9,FALSE)</f>
        <v>森 映智</v>
      </c>
      <c r="H188" s="82">
        <v>119</v>
      </c>
      <c r="I188" s="83" t="s">
        <v>394</v>
      </c>
      <c r="J188" s="84">
        <v>1</v>
      </c>
      <c r="K188" s="82"/>
      <c r="L188" s="21" t="str">
        <f>VLOOKUP(IF('ブロック表'!$D$16=9,ゲームNo!$D175,IF('ブロック表'!$D$16=10,ゲームNo!$J175,IF('ブロック表'!$D$16=11,ゲームNo!$P175,ゲームNo!$V175))),'ブロック表'!$A$4:$N$15,9,FALSE)</f>
        <v>吉岡 保俊</v>
      </c>
      <c r="M188" s="72" t="str">
        <f>VLOOKUP(IF('ブロック表'!$D$16=9,ゲームNo!$D175,IF('ブロック表'!$D$16=10,ゲームNo!$J175,IF('ブロック表'!$D$16=11,ゲームNo!$P175,ゲームNo!$V175))),'ブロック表'!$A$4:$C$15,3,FALSE)</f>
        <v>大阪A</v>
      </c>
    </row>
    <row r="189" spans="1:13" ht="13.5" customHeight="1">
      <c r="A189" s="98">
        <v>174</v>
      </c>
      <c r="B189" s="70">
        <v>35</v>
      </c>
      <c r="C189" s="132">
        <v>4</v>
      </c>
      <c r="D189" s="104" t="str">
        <f t="shared" si="4"/>
        <v>大阪A白澤 雄一郎</v>
      </c>
      <c r="E189" s="104" t="str">
        <f t="shared" si="5"/>
        <v>兵庫乾 伸綱</v>
      </c>
      <c r="F189" s="71" t="str">
        <f>VLOOKUP(IF('ブロック表'!$D$16=9,ゲームNo!$C176,IF('ブロック表'!$D$16=10,ゲームNo!$I176,IF('ブロック表'!$D$16=11,ゲームNo!$O176,ゲームNo!$U176))),'ブロック表'!$A$4:$C$15,3,FALSE)</f>
        <v>兵庫</v>
      </c>
      <c r="G189" s="15" t="str">
        <f>VLOOKUP(IF('ブロック表'!$D$16=9,ゲームNo!$C176,IF('ブロック表'!$D$16=10,ゲームNo!$I176,IF('ブロック表'!$D$16=11,ゲームNo!$O176,ゲームNo!$U176))),'ブロック表'!$A$4:$N$15,11,FALSE)</f>
        <v>白澤 雄一郎</v>
      </c>
      <c r="H189" s="82"/>
      <c r="I189" s="83">
        <v>64</v>
      </c>
      <c r="J189" s="84" t="s">
        <v>394</v>
      </c>
      <c r="K189" s="82"/>
      <c r="L189" s="21" t="str">
        <f>VLOOKUP(IF('ブロック表'!$D$16=9,ゲームNo!$D176,IF('ブロック表'!$D$16=10,ゲームNo!$J176,IF('ブロック表'!$D$16=11,ゲームNo!$P176,ゲームNo!$V176))),'ブロック表'!$A$4:$N$15,11,FALSE)</f>
        <v>乾 伸綱</v>
      </c>
      <c r="M189" s="72" t="str">
        <f>VLOOKUP(IF('ブロック表'!$D$16=9,ゲームNo!$D176,IF('ブロック表'!$D$16=10,ゲームNo!$J176,IF('ブロック表'!$D$16=11,ゲームNo!$P176,ゲームNo!$V176))),'ブロック表'!$A$4:$C$15,3,FALSE)</f>
        <v>大阪A</v>
      </c>
    </row>
    <row r="190" spans="1:13" ht="14.25" customHeight="1">
      <c r="A190" s="263">
        <v>175</v>
      </c>
      <c r="B190" s="264">
        <v>35</v>
      </c>
      <c r="C190" s="265">
        <v>5</v>
      </c>
      <c r="D190" s="266" t="str">
        <f t="shared" si="4"/>
        <v>大阪A平井 洸志</v>
      </c>
      <c r="E190" s="266" t="str">
        <f t="shared" si="5"/>
        <v>兵庫山田 玄英</v>
      </c>
      <c r="F190" s="267" t="str">
        <f>VLOOKUP(IF('ブロック表'!$D$16=9,ゲームNo!$C177,IF('ブロック表'!$D$16=10,ゲームNo!$I177,IF('ブロック表'!$D$16=11,ゲームNo!$O177,ゲームNo!$U177))),'ブロック表'!$A$4:$C$15,3,FALSE)</f>
        <v>兵庫</v>
      </c>
      <c r="G190" s="268" t="str">
        <f>VLOOKUP(IF('ブロック表'!$D$16=9,ゲームNo!$C177,IF('ブロック表'!$D$16=10,ゲームNo!$I177,IF('ブロック表'!$D$16=11,ゲームNo!$O177,ゲームNo!$U177))),'ブロック表'!$A$4:$N$15,13,FALSE)</f>
        <v>平井 洸志</v>
      </c>
      <c r="H190" s="269"/>
      <c r="I190" s="270" t="s">
        <v>394</v>
      </c>
      <c r="J190" s="271">
        <v>96</v>
      </c>
      <c r="K190" s="269"/>
      <c r="L190" s="272" t="str">
        <f>VLOOKUP(IF('ブロック表'!$D$16=9,ゲームNo!$D177,IF('ブロック表'!$D$16=10,ゲームNo!$J177,IF('ブロック表'!$D$16=11,ゲームNo!$P177,ゲームNo!$V177))),'ブロック表'!$A$4:$N$15,13,FALSE)</f>
        <v>山田 玄英</v>
      </c>
      <c r="M190" s="273" t="str">
        <f>VLOOKUP(IF('ブロック表'!$D$16=9,ゲームNo!$D177,IF('ブロック表'!$D$16=10,ゲームNo!$J177,IF('ブロック表'!$D$16=11,ゲームNo!$P177,ゲームNo!$V177))),'ブロック表'!$A$4:$C$15,3,FALSE)</f>
        <v>大阪A</v>
      </c>
    </row>
    <row r="191" spans="1:13" ht="13.5" customHeight="1">
      <c r="A191" s="223">
        <v>176</v>
      </c>
      <c r="B191" s="70">
        <v>36</v>
      </c>
      <c r="C191" s="224">
        <v>1</v>
      </c>
      <c r="D191" s="104" t="str">
        <f t="shared" si="4"/>
        <v>三重岩本 剛</v>
      </c>
      <c r="E191" s="104" t="str">
        <f t="shared" si="5"/>
        <v>奈良水野 憲一</v>
      </c>
      <c r="F191" s="225" t="str">
        <f>VLOOKUP(IF('ブロック表'!$D$16=9,ゲームNo!$C178,IF('ブロック表'!$D$16=10,ゲームNo!$I178,IF('ブロック表'!$D$16=11,ゲームNo!$O178,ゲームNo!$U178))),'ブロック表'!$A$4:$C$15,3,FALSE)</f>
        <v>奈良</v>
      </c>
      <c r="G191" s="226" t="str">
        <f>VLOOKUP(IF('ブロック表'!$D$16=9,ゲームNo!$C178,IF('ブロック表'!$D$16=10,ゲームNo!$I178,IF('ブロック表'!$D$16=11,ゲームNo!$O178,ゲームNo!$U178))),'ブロック表'!$A$4:$N$15,5,FALSE)</f>
        <v>岩本 剛</v>
      </c>
      <c r="H191" s="227"/>
      <c r="I191" s="228">
        <v>67</v>
      </c>
      <c r="J191" s="229" t="s">
        <v>394</v>
      </c>
      <c r="K191" s="227"/>
      <c r="L191" s="230" t="str">
        <f>VLOOKUP(IF('ブロック表'!$D$16=9,ゲームNo!$D178,IF('ブロック表'!$D$16=10,ゲームNo!$J178,IF('ブロック表'!$D$16=11,ゲームNo!$P178,ゲームNo!$V178))),'ブロック表'!$A$4:$N$15,5,FALSE)</f>
        <v>水野 憲一</v>
      </c>
      <c r="M191" s="231" t="str">
        <f>VLOOKUP(IF('ブロック表'!$D$16=9,ゲームNo!$D178,IF('ブロック表'!$D$16=10,ゲームNo!$J178,IF('ブロック表'!$D$16=11,ゲームNo!$P178,ゲームNo!$V178))),'ブロック表'!$A$4:$C$15,3,FALSE)</f>
        <v>三重</v>
      </c>
    </row>
    <row r="192" spans="1:13" ht="13.5" customHeight="1">
      <c r="A192" s="98">
        <v>177</v>
      </c>
      <c r="B192" s="70">
        <v>36</v>
      </c>
      <c r="C192" s="132">
        <v>2</v>
      </c>
      <c r="D192" s="104" t="str">
        <f t="shared" si="4"/>
        <v>三重水田 賢宏</v>
      </c>
      <c r="E192" s="104" t="str">
        <f t="shared" si="5"/>
        <v>奈良市川 裕貴</v>
      </c>
      <c r="F192" s="71" t="str">
        <f>VLOOKUP(IF('ブロック表'!$D$16=9,ゲームNo!$C179,IF('ブロック表'!$D$16=10,ゲームNo!$I179,IF('ブロック表'!$D$16=11,ゲームNo!$O179,ゲームNo!$U179))),'ブロック表'!$A$4:$C$15,3,FALSE)</f>
        <v>奈良</v>
      </c>
      <c r="G192" s="15" t="str">
        <f>VLOOKUP(IF('ブロック表'!$D$16=9,ゲームNo!$C179,IF('ブロック表'!$D$16=10,ゲームNo!$I179,IF('ブロック表'!$D$16=11,ゲームNo!$O179,ゲームNo!$U179))),'ブロック表'!$A$4:$N$15,7,FALSE)</f>
        <v>水田 賢宏</v>
      </c>
      <c r="H192" s="82"/>
      <c r="I192" s="83" t="s">
        <v>398</v>
      </c>
      <c r="J192" s="84">
        <v>118</v>
      </c>
      <c r="K192" s="82"/>
      <c r="L192" s="21" t="str">
        <f>VLOOKUP(IF('ブロック表'!$D$16=9,ゲームNo!$D179,IF('ブロック表'!$D$16=10,ゲームNo!$J179,IF('ブロック表'!$D$16=11,ゲームNo!$P179,ゲームNo!$V179))),'ブロック表'!$A$4:$N$15,7,FALSE)</f>
        <v>市川 裕貴</v>
      </c>
      <c r="M192" s="72" t="str">
        <f>VLOOKUP(IF('ブロック表'!$D$16=9,ゲームNo!$D179,IF('ブロック表'!$D$16=10,ゲームNo!$J179,IF('ブロック表'!$D$16=11,ゲームNo!$P179,ゲームNo!$V179))),'ブロック表'!$A$4:$C$15,3,FALSE)</f>
        <v>三重</v>
      </c>
    </row>
    <row r="193" spans="1:13" ht="13.5" customHeight="1">
      <c r="A193" s="98">
        <v>178</v>
      </c>
      <c r="B193" s="70">
        <v>36</v>
      </c>
      <c r="C193" s="132">
        <v>3</v>
      </c>
      <c r="D193" s="104" t="str">
        <f t="shared" si="4"/>
        <v>三重長谷川 進</v>
      </c>
      <c r="E193" s="104" t="str">
        <f t="shared" si="5"/>
        <v>奈良黒宮 健二</v>
      </c>
      <c r="F193" s="71" t="str">
        <f>VLOOKUP(IF('ブロック表'!$D$16=9,ゲームNo!$C180,IF('ブロック表'!$D$16=10,ゲームNo!$I180,IF('ブロック表'!$D$16=11,ゲームNo!$O180,ゲームNo!$U180))),'ブロック表'!$A$4:$C$15,3,FALSE)</f>
        <v>奈良</v>
      </c>
      <c r="G193" s="15" t="str">
        <f>VLOOKUP(IF('ブロック表'!$D$16=9,ゲームNo!$C180,IF('ブロック表'!$D$16=10,ゲームNo!$I180,IF('ブロック表'!$D$16=11,ゲームNo!$O180,ゲームNo!$U180))),'ブロック表'!$A$4:$N$15,9,FALSE)</f>
        <v>長谷川 進</v>
      </c>
      <c r="H193" s="82"/>
      <c r="I193" s="83">
        <v>37</v>
      </c>
      <c r="J193" s="84" t="s">
        <v>394</v>
      </c>
      <c r="K193" s="82"/>
      <c r="L193" s="21" t="str">
        <f>VLOOKUP(IF('ブロック表'!$D$16=9,ゲームNo!$D180,IF('ブロック表'!$D$16=10,ゲームNo!$J180,IF('ブロック表'!$D$16=11,ゲームNo!$P180,ゲームNo!$V180))),'ブロック表'!$A$4:$N$15,9,FALSE)</f>
        <v>黒宮 健二</v>
      </c>
      <c r="M193" s="72" t="str">
        <f>VLOOKUP(IF('ブロック表'!$D$16=9,ゲームNo!$D180,IF('ブロック表'!$D$16=10,ゲームNo!$J180,IF('ブロック表'!$D$16=11,ゲームNo!$P180,ゲームNo!$V180))),'ブロック表'!$A$4:$C$15,3,FALSE)</f>
        <v>三重</v>
      </c>
    </row>
    <row r="194" spans="1:13" ht="13.5" customHeight="1">
      <c r="A194" s="98">
        <v>179</v>
      </c>
      <c r="B194" s="70">
        <v>36</v>
      </c>
      <c r="C194" s="132">
        <v>4</v>
      </c>
      <c r="D194" s="104" t="str">
        <f t="shared" si="4"/>
        <v>三重植田 慎也</v>
      </c>
      <c r="E194" s="104" t="str">
        <f t="shared" si="5"/>
        <v>奈良杉本 諭</v>
      </c>
      <c r="F194" s="71" t="str">
        <f>VLOOKUP(IF('ブロック表'!$D$16=9,ゲームNo!$C181,IF('ブロック表'!$D$16=10,ゲームNo!$I181,IF('ブロック表'!$D$16=11,ゲームNo!$O181,ゲームNo!$U181))),'ブロック表'!$A$4:$C$15,3,FALSE)</f>
        <v>奈良</v>
      </c>
      <c r="G194" s="15" t="str">
        <f>VLOOKUP(IF('ブロック表'!$D$16=9,ゲームNo!$C181,IF('ブロック表'!$D$16=10,ゲームNo!$I181,IF('ブロック表'!$D$16=11,ゲームNo!$O181,ゲームNo!$U181))),'ブロック表'!$A$4:$N$15,11,FALSE)</f>
        <v>植田 慎也</v>
      </c>
      <c r="H194" s="82"/>
      <c r="I194" s="83" t="s">
        <v>394</v>
      </c>
      <c r="J194" s="84">
        <v>93</v>
      </c>
      <c r="K194" s="82"/>
      <c r="L194" s="21" t="str">
        <f>VLOOKUP(IF('ブロック表'!$D$16=9,ゲームNo!$D181,IF('ブロック表'!$D$16=10,ゲームNo!$J181,IF('ブロック表'!$D$16=11,ゲームNo!$P181,ゲームNo!$V181))),'ブロック表'!$A$4:$N$15,11,FALSE)</f>
        <v>杉本 諭</v>
      </c>
      <c r="M194" s="72" t="str">
        <f>VLOOKUP(IF('ブロック表'!$D$16=9,ゲームNo!$D181,IF('ブロック表'!$D$16=10,ゲームNo!$J181,IF('ブロック表'!$D$16=11,ゲームNo!$P181,ゲームNo!$V181))),'ブロック表'!$A$4:$C$15,3,FALSE)</f>
        <v>三重</v>
      </c>
    </row>
    <row r="195" spans="1:13" ht="14.25" customHeight="1">
      <c r="A195" s="99">
        <v>180</v>
      </c>
      <c r="B195" s="73">
        <v>36</v>
      </c>
      <c r="C195" s="133">
        <v>5</v>
      </c>
      <c r="D195" s="105" t="str">
        <f t="shared" si="4"/>
        <v>三重山田 晃司</v>
      </c>
      <c r="E195" s="105" t="str">
        <f t="shared" si="5"/>
        <v>奈良森本 英幸</v>
      </c>
      <c r="F195" s="74" t="str">
        <f>VLOOKUP(IF('ブロック表'!$D$16=9,ゲームNo!$C182,IF('ブロック表'!$D$16=10,ゲームNo!$I182,IF('ブロック表'!$D$16=11,ゲームNo!$O182,ゲームNo!$U182))),'ブロック表'!$A$4:$C$15,3,FALSE)</f>
        <v>奈良</v>
      </c>
      <c r="G195" s="17" t="str">
        <f>VLOOKUP(IF('ブロック表'!$D$16=9,ゲームNo!$C182,IF('ブロック表'!$D$16=10,ゲームNo!$I182,IF('ブロック表'!$D$16=11,ゲームNo!$O182,ゲームNo!$U182))),'ブロック表'!$A$4:$N$15,13,FALSE)</f>
        <v>山田 晃司</v>
      </c>
      <c r="H195" s="85"/>
      <c r="I195" s="86">
        <v>84</v>
      </c>
      <c r="J195" s="87" t="s">
        <v>394</v>
      </c>
      <c r="K195" s="85"/>
      <c r="L195" s="22" t="str">
        <f>VLOOKUP(IF('ブロック表'!$D$16=9,ゲームNo!$D182,IF('ブロック表'!$D$16=10,ゲームNo!$J182,IF('ブロック表'!$D$16=11,ゲームNo!$P182,ゲームNo!$V182))),'ブロック表'!$A$4:$N$15,13,FALSE)</f>
        <v>森本 英幸</v>
      </c>
      <c r="M195" s="75" t="str">
        <f>VLOOKUP(IF('ブロック表'!$D$16=9,ゲームNo!$D182,IF('ブロック表'!$D$16=10,ゲームNo!$J182,IF('ブロック表'!$D$16=11,ゲームNo!$P182,ゲームNo!$V182))),'ブロック表'!$A$4:$C$15,3,FALSE)</f>
        <v>三重</v>
      </c>
    </row>
    <row r="196" spans="1:13" ht="13.5" customHeight="1">
      <c r="A196" s="97">
        <v>181</v>
      </c>
      <c r="B196" s="92">
        <v>37</v>
      </c>
      <c r="C196" s="131">
        <v>1</v>
      </c>
      <c r="D196" s="106" t="str">
        <f t="shared" si="4"/>
        <v>岐阜酒井 美希</v>
      </c>
      <c r="E196" s="106" t="str">
        <f t="shared" si="5"/>
        <v>滋賀木村 隼人</v>
      </c>
      <c r="F196" s="76" t="str">
        <f>VLOOKUP(IF('ブロック表'!$D$16=9,ゲームNo!$C183,IF('ブロック表'!$D$16=10,ゲームNo!$I183,IF('ブロック表'!$D$16=11,ゲームNo!$O183,ゲームNo!$U183))),'ブロック表'!$A$4:$C$15,3,FALSE)</f>
        <v>滋賀</v>
      </c>
      <c r="G196" s="19" t="str">
        <f>VLOOKUP(IF('ブロック表'!$D$16=9,ゲームNo!$C183,IF('ブロック表'!$D$16=10,ゲームNo!$I183,IF('ブロック表'!$D$16=11,ゲームNo!$O183,ゲームNo!$U183))),'ブロック表'!$A$4:$N$15,5,FALSE)</f>
        <v>酒井 美希</v>
      </c>
      <c r="H196" s="88"/>
      <c r="I196" s="89">
        <v>23</v>
      </c>
      <c r="J196" s="90" t="s">
        <v>394</v>
      </c>
      <c r="K196" s="88"/>
      <c r="L196" s="20" t="str">
        <f>VLOOKUP(IF('ブロック表'!$D$16=9,ゲームNo!$D183,IF('ブロック表'!$D$16=10,ゲームNo!$J183,IF('ブロック表'!$D$16=11,ゲームNo!$P183,ゲームNo!$V183))),'ブロック表'!$A$4:$N$15,5,FALSE)</f>
        <v>木村 隼人</v>
      </c>
      <c r="M196" s="93" t="str">
        <f>VLOOKUP(IF('ブロック表'!$D$16=9,ゲームNo!$D183,IF('ブロック表'!$D$16=10,ゲームNo!$J183,IF('ブロック表'!$D$16=11,ゲームNo!$P183,ゲームNo!$V183))),'ブロック表'!$A$4:$C$15,3,FALSE)</f>
        <v>岐阜</v>
      </c>
    </row>
    <row r="197" spans="1:13" ht="13.5" customHeight="1">
      <c r="A197" s="98">
        <v>182</v>
      </c>
      <c r="B197" s="70">
        <v>37</v>
      </c>
      <c r="C197" s="132">
        <v>2</v>
      </c>
      <c r="D197" s="104" t="str">
        <f t="shared" si="4"/>
        <v>岐阜大橋 義治</v>
      </c>
      <c r="E197" s="104" t="str">
        <f t="shared" si="5"/>
        <v>滋賀辻 和美</v>
      </c>
      <c r="F197" s="71" t="str">
        <f>VLOOKUP(IF('ブロック表'!$D$16=9,ゲームNo!$C184,IF('ブロック表'!$D$16=10,ゲームNo!$I184,IF('ブロック表'!$D$16=11,ゲームNo!$O184,ゲームNo!$U184))),'ブロック表'!$A$4:$C$15,3,FALSE)</f>
        <v>滋賀</v>
      </c>
      <c r="G197" s="15" t="str">
        <f>VLOOKUP(IF('ブロック表'!$D$16=9,ゲームNo!$C184,IF('ブロック表'!$D$16=10,ゲームNo!$I184,IF('ブロック表'!$D$16=11,ゲームNo!$O184,ゲームNo!$U184))),'ブロック表'!$A$4:$N$15,7,FALSE)</f>
        <v>大橋 義治</v>
      </c>
      <c r="H197" s="82"/>
      <c r="I197" s="83">
        <v>90</v>
      </c>
      <c r="J197" s="84" t="s">
        <v>394</v>
      </c>
      <c r="K197" s="82"/>
      <c r="L197" s="21" t="str">
        <f>VLOOKUP(IF('ブロック表'!$D$16=9,ゲームNo!$D184,IF('ブロック表'!$D$16=10,ゲームNo!$J184,IF('ブロック表'!$D$16=11,ゲームNo!$P184,ゲームNo!$V184))),'ブロック表'!$A$4:$N$15,7,FALSE)</f>
        <v>辻 和美</v>
      </c>
      <c r="M197" s="72" t="str">
        <f>VLOOKUP(IF('ブロック表'!$D$16=9,ゲームNo!$D184,IF('ブロック表'!$D$16=10,ゲームNo!$J184,IF('ブロック表'!$D$16=11,ゲームNo!$P184,ゲームNo!$V184))),'ブロック表'!$A$4:$C$15,3,FALSE)</f>
        <v>岐阜</v>
      </c>
    </row>
    <row r="198" spans="1:13" ht="13.5" customHeight="1">
      <c r="A198" s="98">
        <v>183</v>
      </c>
      <c r="B198" s="70">
        <v>37</v>
      </c>
      <c r="C198" s="132">
        <v>3</v>
      </c>
      <c r="D198" s="104" t="str">
        <f t="shared" si="4"/>
        <v>岐阜西峰 久祐</v>
      </c>
      <c r="E198" s="104" t="str">
        <f t="shared" si="5"/>
        <v>滋賀徳永 修児</v>
      </c>
      <c r="F198" s="71" t="str">
        <f>VLOOKUP(IF('ブロック表'!$D$16=9,ゲームNo!$C185,IF('ブロック表'!$D$16=10,ゲームNo!$I185,IF('ブロック表'!$D$16=11,ゲームNo!$O185,ゲームNo!$U185))),'ブロック表'!$A$4:$C$15,3,FALSE)</f>
        <v>滋賀</v>
      </c>
      <c r="G198" s="15" t="str">
        <f>VLOOKUP(IF('ブロック表'!$D$16=9,ゲームNo!$C185,IF('ブロック表'!$D$16=10,ゲームNo!$I185,IF('ブロック表'!$D$16=11,ゲームNo!$O185,ゲームNo!$U185))),'ブロック表'!$A$4:$N$15,9,FALSE)</f>
        <v>西峰 久祐</v>
      </c>
      <c r="H198" s="82"/>
      <c r="I198" s="83">
        <v>29</v>
      </c>
      <c r="J198" s="84" t="s">
        <v>394</v>
      </c>
      <c r="K198" s="82"/>
      <c r="L198" s="21" t="str">
        <f>VLOOKUP(IF('ブロック表'!$D$16=9,ゲームNo!$D185,IF('ブロック表'!$D$16=10,ゲームNo!$J185,IF('ブロック表'!$D$16=11,ゲームNo!$P185,ゲームNo!$V185))),'ブロック表'!$A$4:$N$15,9,FALSE)</f>
        <v>徳永 修児</v>
      </c>
      <c r="M198" s="72" t="str">
        <f>VLOOKUP(IF('ブロック表'!$D$16=9,ゲームNo!$D185,IF('ブロック表'!$D$16=10,ゲームNo!$J185,IF('ブロック表'!$D$16=11,ゲームNo!$P185,ゲームNo!$V185))),'ブロック表'!$A$4:$C$15,3,FALSE)</f>
        <v>岐阜</v>
      </c>
    </row>
    <row r="199" spans="1:13" ht="13.5" customHeight="1">
      <c r="A199" s="98">
        <v>184</v>
      </c>
      <c r="B199" s="70">
        <v>37</v>
      </c>
      <c r="C199" s="132">
        <v>4</v>
      </c>
      <c r="D199" s="104" t="str">
        <f t="shared" si="4"/>
        <v>岐阜長田 智紀</v>
      </c>
      <c r="E199" s="104" t="str">
        <f t="shared" si="5"/>
        <v>滋賀高橋 浩之</v>
      </c>
      <c r="F199" s="71" t="str">
        <f>VLOOKUP(IF('ブロック表'!$D$16=9,ゲームNo!$C186,IF('ブロック表'!$D$16=10,ゲームNo!$I186,IF('ブロック表'!$D$16=11,ゲームNo!$O186,ゲームNo!$U186))),'ブロック表'!$A$4:$C$15,3,FALSE)</f>
        <v>滋賀</v>
      </c>
      <c r="G199" s="15" t="str">
        <f>VLOOKUP(IF('ブロック表'!$D$16=9,ゲームNo!$C186,IF('ブロック表'!$D$16=10,ゲームNo!$I186,IF('ブロック表'!$D$16=11,ゲームNo!$O186,ゲームNo!$U186))),'ブロック表'!$A$4:$N$15,11,FALSE)</f>
        <v>長田 智紀</v>
      </c>
      <c r="H199" s="82"/>
      <c r="I199" s="83" t="s">
        <v>394</v>
      </c>
      <c r="J199" s="84">
        <v>103</v>
      </c>
      <c r="K199" s="82"/>
      <c r="L199" s="21" t="str">
        <f>VLOOKUP(IF('ブロック表'!$D$16=9,ゲームNo!$D186,IF('ブロック表'!$D$16=10,ゲームNo!$J186,IF('ブロック表'!$D$16=11,ゲームNo!$P186,ゲームNo!$V186))),'ブロック表'!$A$4:$N$15,11,FALSE)</f>
        <v>高橋 浩之</v>
      </c>
      <c r="M199" s="72" t="str">
        <f>VLOOKUP(IF('ブロック表'!$D$16=9,ゲームNo!$D186,IF('ブロック表'!$D$16=10,ゲームNo!$J186,IF('ブロック表'!$D$16=11,ゲームNo!$P186,ゲームNo!$V186))),'ブロック表'!$A$4:$C$15,3,FALSE)</f>
        <v>岐阜</v>
      </c>
    </row>
    <row r="200" spans="1:13" ht="14.25" customHeight="1">
      <c r="A200" s="99">
        <v>185</v>
      </c>
      <c r="B200" s="73">
        <v>37</v>
      </c>
      <c r="C200" s="133">
        <v>5</v>
      </c>
      <c r="D200" s="105" t="str">
        <f t="shared" si="4"/>
        <v>岐阜大橋 正寛</v>
      </c>
      <c r="E200" s="105" t="str">
        <f t="shared" si="5"/>
        <v>滋賀野原 朋和</v>
      </c>
      <c r="F200" s="74" t="str">
        <f>VLOOKUP(IF('ブロック表'!$D$16=9,ゲームNo!$C187,IF('ブロック表'!$D$16=10,ゲームNo!$I187,IF('ブロック表'!$D$16=11,ゲームNo!$O187,ゲームNo!$U187))),'ブロック表'!$A$4:$C$15,3,FALSE)</f>
        <v>滋賀</v>
      </c>
      <c r="G200" s="17" t="str">
        <f>VLOOKUP(IF('ブロック表'!$D$16=9,ゲームNo!$C187,IF('ブロック表'!$D$16=10,ゲームNo!$I187,IF('ブロック表'!$D$16=11,ゲームNo!$O187,ゲームNo!$U187))),'ブロック表'!$A$4:$N$15,13,FALSE)</f>
        <v>大橋 正寛</v>
      </c>
      <c r="H200" s="85"/>
      <c r="I200" s="86" t="s">
        <v>394</v>
      </c>
      <c r="J200" s="87">
        <v>45</v>
      </c>
      <c r="K200" s="85"/>
      <c r="L200" s="22" t="str">
        <f>VLOOKUP(IF('ブロック表'!$D$16=9,ゲームNo!$D187,IF('ブロック表'!$D$16=10,ゲームNo!$J187,IF('ブロック表'!$D$16=11,ゲームNo!$P187,ゲームNo!$V187))),'ブロック表'!$A$4:$N$15,13,FALSE)</f>
        <v>野原 朋和</v>
      </c>
      <c r="M200" s="75" t="str">
        <f>VLOOKUP(IF('ブロック表'!$D$16=9,ゲームNo!$D187,IF('ブロック表'!$D$16=10,ゲームNo!$J187,IF('ブロック表'!$D$16=11,ゲームNo!$P187,ゲームNo!$V187))),'ブロック表'!$A$4:$C$15,3,FALSE)</f>
        <v>岐阜</v>
      </c>
    </row>
    <row r="201" spans="1:13" ht="13.5" customHeight="1">
      <c r="A201" s="97">
        <v>186</v>
      </c>
      <c r="B201" s="92">
        <v>38</v>
      </c>
      <c r="C201" s="131">
        <v>1</v>
      </c>
      <c r="D201" s="106" t="str">
        <f t="shared" si="4"/>
        <v>大阪B岸上 賢一</v>
      </c>
      <c r="E201" s="106" t="str">
        <f t="shared" si="5"/>
        <v>和歌山由本 拓</v>
      </c>
      <c r="F201" s="76" t="str">
        <f>VLOOKUP(IF('ブロック表'!$D$16=9,ゲームNo!$C188,IF('ブロック表'!$D$16=10,ゲームNo!$I188,IF('ブロック表'!$D$16=11,ゲームNo!$O188,ゲームNo!$U188))),'ブロック表'!$A$4:$C$15,3,FALSE)</f>
        <v>和歌山</v>
      </c>
      <c r="G201" s="19" t="str">
        <f>VLOOKUP(IF('ブロック表'!$D$16=9,ゲームNo!$C188,IF('ブロック表'!$D$16=10,ゲームNo!$I188,IF('ブロック表'!$D$16=11,ゲームNo!$O188,ゲームNo!$U188))),'ブロック表'!$A$4:$N$15,5,FALSE)</f>
        <v>岸上 賢一</v>
      </c>
      <c r="H201" s="88"/>
      <c r="I201" s="89">
        <v>65</v>
      </c>
      <c r="J201" s="90" t="s">
        <v>394</v>
      </c>
      <c r="K201" s="88"/>
      <c r="L201" s="20" t="str">
        <f>VLOOKUP(IF('ブロック表'!$D$16=9,ゲームNo!$D188,IF('ブロック表'!$D$16=10,ゲームNo!$J188,IF('ブロック表'!$D$16=11,ゲームNo!$P188,ゲームNo!$V188))),'ブロック表'!$A$4:$N$15,5,FALSE)</f>
        <v>由本 拓</v>
      </c>
      <c r="M201" s="93" t="str">
        <f>VLOOKUP(IF('ブロック表'!$D$16=9,ゲームNo!$D188,IF('ブロック表'!$D$16=10,ゲームNo!$J188,IF('ブロック表'!$D$16=11,ゲームNo!$P188,ゲームNo!$V188))),'ブロック表'!$A$4:$C$15,3,FALSE)</f>
        <v>大阪B</v>
      </c>
    </row>
    <row r="202" spans="1:13" ht="13.5" customHeight="1">
      <c r="A202" s="98">
        <v>187</v>
      </c>
      <c r="B202" s="70">
        <v>38</v>
      </c>
      <c r="C202" s="132">
        <v>2</v>
      </c>
      <c r="D202" s="104" t="str">
        <f t="shared" si="4"/>
        <v>大阪B末岡 修</v>
      </c>
      <c r="E202" s="104" t="str">
        <f t="shared" si="5"/>
        <v>和歌山西田 恵子</v>
      </c>
      <c r="F202" s="71" t="str">
        <f>VLOOKUP(IF('ブロック表'!$D$16=9,ゲームNo!$C189,IF('ブロック表'!$D$16=10,ゲームNo!$I189,IF('ブロック表'!$D$16=11,ゲームNo!$O189,ゲームNo!$U189))),'ブロック表'!$A$4:$C$15,3,FALSE)</f>
        <v>和歌山</v>
      </c>
      <c r="G202" s="15" t="str">
        <f>VLOOKUP(IF('ブロック表'!$D$16=9,ゲームNo!$C189,IF('ブロック表'!$D$16=10,ゲームNo!$I189,IF('ブロック表'!$D$16=11,ゲームNo!$O189,ゲームNo!$U189))),'ブロック表'!$A$4:$N$15,7,FALSE)</f>
        <v>末岡 修</v>
      </c>
      <c r="H202" s="82"/>
      <c r="I202" s="83" t="s">
        <v>394</v>
      </c>
      <c r="J202" s="84">
        <v>30</v>
      </c>
      <c r="K202" s="82"/>
      <c r="L202" s="21" t="str">
        <f>VLOOKUP(IF('ブロック表'!$D$16=9,ゲームNo!$D189,IF('ブロック表'!$D$16=10,ゲームNo!$J189,IF('ブロック表'!$D$16=11,ゲームNo!$P189,ゲームNo!$V189))),'ブロック表'!$A$4:$N$15,7,FALSE)</f>
        <v>西田 恵子</v>
      </c>
      <c r="M202" s="72" t="str">
        <f>VLOOKUP(IF('ブロック表'!$D$16=9,ゲームNo!$D189,IF('ブロック表'!$D$16=10,ゲームNo!$J189,IF('ブロック表'!$D$16=11,ゲームNo!$P189,ゲームNo!$V189))),'ブロック表'!$A$4:$C$15,3,FALSE)</f>
        <v>大阪B</v>
      </c>
    </row>
    <row r="203" spans="1:13" ht="13.5" customHeight="1">
      <c r="A203" s="98">
        <v>188</v>
      </c>
      <c r="B203" s="70">
        <v>38</v>
      </c>
      <c r="C203" s="132">
        <v>3</v>
      </c>
      <c r="D203" s="104" t="str">
        <f t="shared" si="4"/>
        <v>大阪B杉本 博章</v>
      </c>
      <c r="E203" s="104" t="str">
        <f t="shared" si="5"/>
        <v>和歌山野村 宗司</v>
      </c>
      <c r="F203" s="71" t="str">
        <f>VLOOKUP(IF('ブロック表'!$D$16=9,ゲームNo!$C190,IF('ブロック表'!$D$16=10,ゲームNo!$I190,IF('ブロック表'!$D$16=11,ゲームNo!$O190,ゲームNo!$U190))),'ブロック表'!$A$4:$C$15,3,FALSE)</f>
        <v>和歌山</v>
      </c>
      <c r="G203" s="15" t="str">
        <f>VLOOKUP(IF('ブロック表'!$D$16=9,ゲームNo!$C190,IF('ブロック表'!$D$16=10,ゲームNo!$I190,IF('ブロック表'!$D$16=11,ゲームNo!$O190,ゲームNo!$U190))),'ブロック表'!$A$4:$N$15,9,FALSE)</f>
        <v>杉本 博章</v>
      </c>
      <c r="H203" s="82"/>
      <c r="I203" s="83" t="s">
        <v>394</v>
      </c>
      <c r="J203" s="84">
        <v>13</v>
      </c>
      <c r="K203" s="82"/>
      <c r="L203" s="21" t="str">
        <f>VLOOKUP(IF('ブロック表'!$D$16=9,ゲームNo!$D190,IF('ブロック表'!$D$16=10,ゲームNo!$J190,IF('ブロック表'!$D$16=11,ゲームNo!$P190,ゲームNo!$V190))),'ブロック表'!$A$4:$N$15,9,FALSE)</f>
        <v>野村 宗司</v>
      </c>
      <c r="M203" s="72" t="str">
        <f>VLOOKUP(IF('ブロック表'!$D$16=9,ゲームNo!$D190,IF('ブロック表'!$D$16=10,ゲームNo!$J190,IF('ブロック表'!$D$16=11,ゲームNo!$P190,ゲームNo!$V190))),'ブロック表'!$A$4:$C$15,3,FALSE)</f>
        <v>大阪B</v>
      </c>
    </row>
    <row r="204" spans="1:13" ht="13.5" customHeight="1">
      <c r="A204" s="98">
        <v>189</v>
      </c>
      <c r="B204" s="70">
        <v>38</v>
      </c>
      <c r="C204" s="132">
        <v>4</v>
      </c>
      <c r="D204" s="104" t="str">
        <f t="shared" si="4"/>
        <v>大阪B丹次 力良</v>
      </c>
      <c r="E204" s="104" t="str">
        <f t="shared" si="5"/>
        <v>和歌山山崎 真紀子</v>
      </c>
      <c r="F204" s="71" t="str">
        <f>VLOOKUP(IF('ブロック表'!$D$16=9,ゲームNo!$C191,IF('ブロック表'!$D$16=10,ゲームNo!$I191,IF('ブロック表'!$D$16=11,ゲームNo!$O191,ゲームNo!$U191))),'ブロック表'!$A$4:$C$15,3,FALSE)</f>
        <v>和歌山</v>
      </c>
      <c r="G204" s="15" t="str">
        <f>VLOOKUP(IF('ブロック表'!$D$16=9,ゲームNo!$C191,IF('ブロック表'!$D$16=10,ゲームNo!$I191,IF('ブロック表'!$D$16=11,ゲームNo!$O191,ゲームNo!$U191))),'ブロック表'!$A$4:$N$15,11,FALSE)</f>
        <v>丹次 力良</v>
      </c>
      <c r="H204" s="82"/>
      <c r="I204" s="83">
        <v>63</v>
      </c>
      <c r="J204" s="84" t="s">
        <v>394</v>
      </c>
      <c r="K204" s="82"/>
      <c r="L204" s="21" t="str">
        <f>VLOOKUP(IF('ブロック表'!$D$16=9,ゲームNo!$D191,IF('ブロック表'!$D$16=10,ゲームNo!$J191,IF('ブロック表'!$D$16=11,ゲームNo!$P191,ゲームNo!$V191))),'ブロック表'!$A$4:$N$15,11,FALSE)</f>
        <v>山崎 真紀子</v>
      </c>
      <c r="M204" s="72" t="str">
        <f>VLOOKUP(IF('ブロック表'!$D$16=9,ゲームNo!$D191,IF('ブロック表'!$D$16=10,ゲームNo!$J191,IF('ブロック表'!$D$16=11,ゲームNo!$P191,ゲームNo!$V191))),'ブロック表'!$A$4:$C$15,3,FALSE)</f>
        <v>大阪B</v>
      </c>
    </row>
    <row r="205" spans="1:13" ht="14.25" customHeight="1">
      <c r="A205" s="99">
        <v>190</v>
      </c>
      <c r="B205" s="73">
        <v>38</v>
      </c>
      <c r="C205" s="133">
        <v>5</v>
      </c>
      <c r="D205" s="105" t="str">
        <f t="shared" si="4"/>
        <v>大阪B和田 宗一郎</v>
      </c>
      <c r="E205" s="105" t="str">
        <f t="shared" si="5"/>
        <v>和歌山小森 雅昭</v>
      </c>
      <c r="F205" s="74" t="str">
        <f>VLOOKUP(IF('ブロック表'!$D$16=9,ゲームNo!$C192,IF('ブロック表'!$D$16=10,ゲームNo!$I192,IF('ブロック表'!$D$16=11,ゲームNo!$O192,ゲームNo!$U192))),'ブロック表'!$A$4:$C$15,3,FALSE)</f>
        <v>和歌山</v>
      </c>
      <c r="G205" s="17" t="str">
        <f>VLOOKUP(IF('ブロック表'!$D$16=9,ゲームNo!$C192,IF('ブロック表'!$D$16=10,ゲームNo!$I192,IF('ブロック表'!$D$16=11,ゲームNo!$O192,ゲームNo!$U192))),'ブロック表'!$A$4:$N$15,13,FALSE)</f>
        <v>和田 宗一郎</v>
      </c>
      <c r="H205" s="85"/>
      <c r="I205" s="86" t="s">
        <v>394</v>
      </c>
      <c r="J205" s="87">
        <v>118</v>
      </c>
      <c r="K205" s="85"/>
      <c r="L205" s="22" t="str">
        <f>VLOOKUP(IF('ブロック表'!$D$16=9,ゲームNo!$D192,IF('ブロック表'!$D$16=10,ゲームNo!$J192,IF('ブロック表'!$D$16=11,ゲームNo!$P192,ゲームNo!$V192))),'ブロック表'!$A$4:$N$15,13,FALSE)</f>
        <v>小森 雅昭</v>
      </c>
      <c r="M205" s="75" t="str">
        <f>VLOOKUP(IF('ブロック表'!$D$16=9,ゲームNo!$D192,IF('ブロック表'!$D$16=10,ゲームNo!$J192,IF('ブロック表'!$D$16=11,ゲームNo!$P192,ゲームNo!$V192))),'ブロック表'!$A$4:$C$15,3,FALSE)</f>
        <v>大阪B</v>
      </c>
    </row>
    <row r="206" spans="1:13" ht="13.5" customHeight="1">
      <c r="A206" s="97">
        <v>191</v>
      </c>
      <c r="B206" s="92">
        <v>39</v>
      </c>
      <c r="C206" s="131">
        <v>1</v>
      </c>
      <c r="D206" s="106" t="str">
        <f t="shared" si="4"/>
        <v>愛知村上 泰辰</v>
      </c>
      <c r="E206" s="106" t="str">
        <f t="shared" si="5"/>
        <v>大阪A小川 晃</v>
      </c>
      <c r="F206" s="76" t="str">
        <f>VLOOKUP(IF('ブロック表'!$D$16=9,ゲームNo!$C193,IF('ブロック表'!$D$16=10,ゲームNo!$I193,IF('ブロック表'!$D$16=11,ゲームNo!$O193,ゲームNo!$U193))),'ブロック表'!$A$4:$C$15,3,FALSE)</f>
        <v>大阪A</v>
      </c>
      <c r="G206" s="19" t="str">
        <f>VLOOKUP(IF('ブロック表'!$D$16=9,ゲームNo!$C193,IF('ブロック表'!$D$16=10,ゲームNo!$I193,IF('ブロック表'!$D$16=11,ゲームNo!$O193,ゲームNo!$U193))),'ブロック表'!$A$4:$N$15,5,FALSE)</f>
        <v>村上 泰辰</v>
      </c>
      <c r="H206" s="88">
        <v>119</v>
      </c>
      <c r="I206" s="89" t="s">
        <v>394</v>
      </c>
      <c r="J206" s="90">
        <v>1</v>
      </c>
      <c r="K206" s="88"/>
      <c r="L206" s="20" t="str">
        <f>VLOOKUP(IF('ブロック表'!$D$16=9,ゲームNo!$D193,IF('ブロック表'!$D$16=10,ゲームNo!$J193,IF('ブロック表'!$D$16=11,ゲームNo!$P193,ゲームNo!$V193))),'ブロック表'!$A$4:$N$15,5,FALSE)</f>
        <v>小川 晃</v>
      </c>
      <c r="M206" s="93" t="str">
        <f>VLOOKUP(IF('ブロック表'!$D$16=9,ゲームNo!$D193,IF('ブロック表'!$D$16=10,ゲームNo!$J193,IF('ブロック表'!$D$16=11,ゲームNo!$P193,ゲームNo!$V193))),'ブロック表'!$A$4:$C$15,3,FALSE)</f>
        <v>愛知</v>
      </c>
    </row>
    <row r="207" spans="1:13" ht="13.5" customHeight="1">
      <c r="A207" s="98">
        <v>192</v>
      </c>
      <c r="B207" s="70">
        <v>39</v>
      </c>
      <c r="C207" s="132">
        <v>2</v>
      </c>
      <c r="D207" s="104" t="str">
        <f t="shared" si="4"/>
        <v>愛知山岡 修二</v>
      </c>
      <c r="E207" s="104" t="str">
        <f t="shared" si="5"/>
        <v>大阪A櫻井 崇之</v>
      </c>
      <c r="F207" s="71" t="str">
        <f>VLOOKUP(IF('ブロック表'!$D$16=9,ゲームNo!$C194,IF('ブロック表'!$D$16=10,ゲームNo!$I194,IF('ブロック表'!$D$16=11,ゲームNo!$O194,ゲームNo!$U194))),'ブロック表'!$A$4:$C$15,3,FALSE)</f>
        <v>大阪A</v>
      </c>
      <c r="G207" s="15" t="str">
        <f>VLOOKUP(IF('ブロック表'!$D$16=9,ゲームNo!$C194,IF('ブロック表'!$D$16=10,ゲームNo!$I194,IF('ブロック表'!$D$16=11,ゲームNo!$O194,ゲームNo!$U194))),'ブロック表'!$A$4:$N$15,7,FALSE)</f>
        <v>山岡 修二</v>
      </c>
      <c r="H207" s="82"/>
      <c r="I207" s="83" t="s">
        <v>394</v>
      </c>
      <c r="J207" s="84">
        <v>78</v>
      </c>
      <c r="K207" s="82"/>
      <c r="L207" s="21" t="str">
        <f>VLOOKUP(IF('ブロック表'!$D$16=9,ゲームNo!$D194,IF('ブロック表'!$D$16=10,ゲームNo!$J194,IF('ブロック表'!$D$16=11,ゲームNo!$P194,ゲームNo!$V194))),'ブロック表'!$A$4:$N$15,7,FALSE)</f>
        <v>櫻井 崇之</v>
      </c>
      <c r="M207" s="72" t="str">
        <f>VLOOKUP(IF('ブロック表'!$D$16=9,ゲームNo!$D194,IF('ブロック表'!$D$16=10,ゲームNo!$J194,IF('ブロック表'!$D$16=11,ゲームNo!$P194,ゲームNo!$V194))),'ブロック表'!$A$4:$C$15,3,FALSE)</f>
        <v>愛知</v>
      </c>
    </row>
    <row r="208" spans="1:13" ht="13.5" customHeight="1">
      <c r="A208" s="98">
        <v>193</v>
      </c>
      <c r="B208" s="70">
        <v>39</v>
      </c>
      <c r="C208" s="132">
        <v>3</v>
      </c>
      <c r="D208" s="104" t="str">
        <f aca="true" t="shared" si="6" ref="D208:D271">M208&amp;G208</f>
        <v>愛知吉岡 保俊</v>
      </c>
      <c r="E208" s="104" t="str">
        <f aca="true" t="shared" si="7" ref="E208:E271">F208&amp;L208</f>
        <v>大阪A野田 絢也</v>
      </c>
      <c r="F208" s="71" t="str">
        <f>VLOOKUP(IF('ブロック表'!$D$16=9,ゲームNo!$C195,IF('ブロック表'!$D$16=10,ゲームNo!$I195,IF('ブロック表'!$D$16=11,ゲームNo!$O195,ゲームNo!$U195))),'ブロック表'!$A$4:$C$15,3,FALSE)</f>
        <v>大阪A</v>
      </c>
      <c r="G208" s="15" t="str">
        <f>VLOOKUP(IF('ブロック表'!$D$16=9,ゲームNo!$C195,IF('ブロック表'!$D$16=10,ゲームNo!$I195,IF('ブロック表'!$D$16=11,ゲームNo!$O195,ゲームNo!$U195))),'ブロック表'!$A$4:$N$15,9,FALSE)</f>
        <v>吉岡 保俊</v>
      </c>
      <c r="H208" s="82"/>
      <c r="I208" s="83" t="s">
        <v>394</v>
      </c>
      <c r="J208" s="84">
        <v>16</v>
      </c>
      <c r="K208" s="82"/>
      <c r="L208" s="21" t="str">
        <f>VLOOKUP(IF('ブロック表'!$D$16=9,ゲームNo!$D195,IF('ブロック表'!$D$16=10,ゲームNo!$J195,IF('ブロック表'!$D$16=11,ゲームNo!$P195,ゲームNo!$V195))),'ブロック表'!$A$4:$N$15,9,FALSE)</f>
        <v>野田 絢也</v>
      </c>
      <c r="M208" s="72" t="str">
        <f>VLOOKUP(IF('ブロック表'!$D$16=9,ゲームNo!$D195,IF('ブロック表'!$D$16=10,ゲームNo!$J195,IF('ブロック表'!$D$16=11,ゲームNo!$P195,ゲームNo!$V195))),'ブロック表'!$A$4:$C$15,3,FALSE)</f>
        <v>愛知</v>
      </c>
    </row>
    <row r="209" spans="1:13" ht="13.5" customHeight="1">
      <c r="A209" s="98">
        <v>194</v>
      </c>
      <c r="B209" s="70">
        <v>39</v>
      </c>
      <c r="C209" s="132">
        <v>4</v>
      </c>
      <c r="D209" s="104" t="str">
        <f t="shared" si="6"/>
        <v>愛知乾 伸綱</v>
      </c>
      <c r="E209" s="104" t="str">
        <f t="shared" si="7"/>
        <v>大阪A近藤 智靖</v>
      </c>
      <c r="F209" s="71" t="str">
        <f>VLOOKUP(IF('ブロック表'!$D$16=9,ゲームNo!$C196,IF('ブロック表'!$D$16=10,ゲームNo!$I196,IF('ブロック表'!$D$16=11,ゲームNo!$O196,ゲームNo!$U196))),'ブロック表'!$A$4:$C$15,3,FALSE)</f>
        <v>大阪A</v>
      </c>
      <c r="G209" s="15" t="str">
        <f>VLOOKUP(IF('ブロック表'!$D$16=9,ゲームNo!$C196,IF('ブロック表'!$D$16=10,ゲームNo!$I196,IF('ブロック表'!$D$16=11,ゲームNo!$O196,ゲームNo!$U196))),'ブロック表'!$A$4:$N$15,11,FALSE)</f>
        <v>乾 伸綱</v>
      </c>
      <c r="H209" s="82"/>
      <c r="I209" s="83">
        <v>106</v>
      </c>
      <c r="J209" s="84" t="s">
        <v>394</v>
      </c>
      <c r="K209" s="82"/>
      <c r="L209" s="21" t="str">
        <f>VLOOKUP(IF('ブロック表'!$D$16=9,ゲームNo!$D196,IF('ブロック表'!$D$16=10,ゲームNo!$J196,IF('ブロック表'!$D$16=11,ゲームNo!$P196,ゲームNo!$V196))),'ブロック表'!$A$4:$N$15,11,FALSE)</f>
        <v>近藤 智靖</v>
      </c>
      <c r="M209" s="72" t="str">
        <f>VLOOKUP(IF('ブロック表'!$D$16=9,ゲームNo!$D196,IF('ブロック表'!$D$16=10,ゲームNo!$J196,IF('ブロック表'!$D$16=11,ゲームNo!$P196,ゲームNo!$V196))),'ブロック表'!$A$4:$C$15,3,FALSE)</f>
        <v>愛知</v>
      </c>
    </row>
    <row r="210" spans="1:13" ht="14.25" customHeight="1">
      <c r="A210" s="99">
        <v>195</v>
      </c>
      <c r="B210" s="73">
        <v>39</v>
      </c>
      <c r="C210" s="133">
        <v>5</v>
      </c>
      <c r="D210" s="105" t="str">
        <f t="shared" si="6"/>
        <v>愛知山田 玄英</v>
      </c>
      <c r="E210" s="105" t="str">
        <f t="shared" si="7"/>
        <v>大阪A島田 隆嗣</v>
      </c>
      <c r="F210" s="74" t="str">
        <f>VLOOKUP(IF('ブロック表'!$D$16=9,ゲームNo!$C197,IF('ブロック表'!$D$16=10,ゲームNo!$I197,IF('ブロック表'!$D$16=11,ゲームNo!$O197,ゲームNo!$U197))),'ブロック表'!$A$4:$C$15,3,FALSE)</f>
        <v>大阪A</v>
      </c>
      <c r="G210" s="17" t="str">
        <f>VLOOKUP(IF('ブロック表'!$D$16=9,ゲームNo!$C197,IF('ブロック表'!$D$16=10,ゲームNo!$I197,IF('ブロック表'!$D$16=11,ゲームNo!$O197,ゲームNo!$U197))),'ブロック表'!$A$4:$N$15,13,FALSE)</f>
        <v>山田 玄英</v>
      </c>
      <c r="H210" s="85"/>
      <c r="I210" s="86" t="s">
        <v>394</v>
      </c>
      <c r="J210" s="87">
        <v>0</v>
      </c>
      <c r="K210" s="85"/>
      <c r="L210" s="22" t="str">
        <f>VLOOKUP(IF('ブロック表'!$D$16=9,ゲームNo!$D197,IF('ブロック表'!$D$16=10,ゲームNo!$J197,IF('ブロック表'!$D$16=11,ゲームNo!$P197,ゲームNo!$V197))),'ブロック表'!$A$4:$N$15,13,FALSE)</f>
        <v>島田 隆嗣</v>
      </c>
      <c r="M210" s="75" t="str">
        <f>VLOOKUP(IF('ブロック表'!$D$16=9,ゲームNo!$D197,IF('ブロック表'!$D$16=10,ゲームNo!$J197,IF('ブロック表'!$D$16=11,ゲームNo!$P197,ゲームNo!$V197))),'ブロック表'!$A$4:$C$15,3,FALSE)</f>
        <v>愛知</v>
      </c>
    </row>
    <row r="211" spans="1:13" ht="13.5" customHeight="1">
      <c r="A211" s="223">
        <v>196</v>
      </c>
      <c r="B211" s="70">
        <v>40</v>
      </c>
      <c r="C211" s="224">
        <v>1</v>
      </c>
      <c r="D211" s="104" t="str">
        <f t="shared" si="6"/>
        <v>京都高木 俊行</v>
      </c>
      <c r="E211" s="104" t="str">
        <f t="shared" si="7"/>
        <v>兵庫今村 哲也</v>
      </c>
      <c r="F211" s="225" t="str">
        <f>VLOOKUP(IF('ブロック表'!$D$16=9,ゲームNo!$C198,IF('ブロック表'!$D$16=10,ゲームNo!$I198,IF('ブロック表'!$D$16=11,ゲームNo!$O198,ゲームNo!$U198))),'ブロック表'!$A$4:$C$15,3,FALSE)</f>
        <v>兵庫</v>
      </c>
      <c r="G211" s="226" t="str">
        <f>VLOOKUP(IF('ブロック表'!$D$16=9,ゲームNo!$C198,IF('ブロック表'!$D$16=10,ゲームNo!$I198,IF('ブロック表'!$D$16=11,ゲームNo!$O198,ゲームNo!$U198))),'ブロック表'!$A$4:$N$15,5,FALSE)</f>
        <v>高木 俊行</v>
      </c>
      <c r="H211" s="227"/>
      <c r="I211" s="228" t="s">
        <v>395</v>
      </c>
      <c r="J211" s="229">
        <v>92</v>
      </c>
      <c r="K211" s="227"/>
      <c r="L211" s="230" t="str">
        <f>VLOOKUP(IF('ブロック表'!$D$16=9,ゲームNo!$D198,IF('ブロック表'!$D$16=10,ゲームNo!$J198,IF('ブロック表'!$D$16=11,ゲームNo!$P198,ゲームNo!$V198))),'ブロック表'!$A$4:$N$15,5,FALSE)</f>
        <v>今村 哲也</v>
      </c>
      <c r="M211" s="231" t="str">
        <f>VLOOKUP(IF('ブロック表'!$D$16=9,ゲームNo!$D198,IF('ブロック表'!$D$16=10,ゲームNo!$J198,IF('ブロック表'!$D$16=11,ゲームNo!$P198,ゲームNo!$V198))),'ブロック表'!$A$4:$C$15,3,FALSE)</f>
        <v>京都</v>
      </c>
    </row>
    <row r="212" spans="1:13" ht="13.5" customHeight="1">
      <c r="A212" s="98">
        <v>197</v>
      </c>
      <c r="B212" s="70">
        <v>40</v>
      </c>
      <c r="C212" s="132">
        <v>2</v>
      </c>
      <c r="D212" s="104" t="str">
        <f t="shared" si="6"/>
        <v>京都堂園 雅也</v>
      </c>
      <c r="E212" s="104" t="str">
        <f t="shared" si="7"/>
        <v>兵庫田附 裕次</v>
      </c>
      <c r="F212" s="71" t="str">
        <f>VLOOKUP(IF('ブロック表'!$D$16=9,ゲームNo!$C199,IF('ブロック表'!$D$16=10,ゲームNo!$I199,IF('ブロック表'!$D$16=11,ゲームNo!$O199,ゲームNo!$U199))),'ブロック表'!$A$4:$C$15,3,FALSE)</f>
        <v>兵庫</v>
      </c>
      <c r="G212" s="15" t="str">
        <f>VLOOKUP(IF('ブロック表'!$D$16=9,ゲームNo!$C199,IF('ブロック表'!$D$16=10,ゲームNo!$I199,IF('ブロック表'!$D$16=11,ゲームNo!$O199,ゲームNo!$U199))),'ブロック表'!$A$4:$N$15,7,FALSE)</f>
        <v>堂園 雅也</v>
      </c>
      <c r="H212" s="82"/>
      <c r="I212" s="83">
        <v>60</v>
      </c>
      <c r="J212" s="84" t="s">
        <v>394</v>
      </c>
      <c r="K212" s="82"/>
      <c r="L212" s="21" t="str">
        <f>VLOOKUP(IF('ブロック表'!$D$16=9,ゲームNo!$D199,IF('ブロック表'!$D$16=10,ゲームNo!$J199,IF('ブロック表'!$D$16=11,ゲームNo!$P199,ゲームNo!$V199))),'ブロック表'!$A$4:$N$15,7,FALSE)</f>
        <v>田附 裕次</v>
      </c>
      <c r="M212" s="72" t="str">
        <f>VLOOKUP(IF('ブロック表'!$D$16=9,ゲームNo!$D199,IF('ブロック表'!$D$16=10,ゲームNo!$J199,IF('ブロック表'!$D$16=11,ゲームNo!$P199,ゲームNo!$V199))),'ブロック表'!$A$4:$C$15,3,FALSE)</f>
        <v>京都</v>
      </c>
    </row>
    <row r="213" spans="1:13" ht="13.5" customHeight="1">
      <c r="A213" s="98">
        <v>198</v>
      </c>
      <c r="B213" s="70">
        <v>40</v>
      </c>
      <c r="C213" s="132">
        <v>3</v>
      </c>
      <c r="D213" s="104" t="str">
        <f t="shared" si="6"/>
        <v>京都森 映智</v>
      </c>
      <c r="E213" s="104" t="str">
        <f t="shared" si="7"/>
        <v>兵庫佐藤 雄吾</v>
      </c>
      <c r="F213" s="71" t="str">
        <f>VLOOKUP(IF('ブロック表'!$D$16=9,ゲームNo!$C200,IF('ブロック表'!$D$16=10,ゲームNo!$I200,IF('ブロック表'!$D$16=11,ゲームNo!$O200,ゲームNo!$U200))),'ブロック表'!$A$4:$C$15,3,FALSE)</f>
        <v>兵庫</v>
      </c>
      <c r="G213" s="15" t="str">
        <f>VLOOKUP(IF('ブロック表'!$D$16=9,ゲームNo!$C200,IF('ブロック表'!$D$16=10,ゲームNo!$I200,IF('ブロック表'!$D$16=11,ゲームNo!$O200,ゲームNo!$U200))),'ブロック表'!$A$4:$N$15,9,FALSE)</f>
        <v>森 映智</v>
      </c>
      <c r="H213" s="82"/>
      <c r="I213" s="83">
        <v>98</v>
      </c>
      <c r="J213" s="84" t="s">
        <v>394</v>
      </c>
      <c r="K213" s="82"/>
      <c r="L213" s="21" t="str">
        <f>VLOOKUP(IF('ブロック表'!$D$16=9,ゲームNo!$D200,IF('ブロック表'!$D$16=10,ゲームNo!$J200,IF('ブロック表'!$D$16=11,ゲームNo!$P200,ゲームNo!$V200))),'ブロック表'!$A$4:$N$15,9,FALSE)</f>
        <v>佐藤 雄吾</v>
      </c>
      <c r="M213" s="72" t="str">
        <f>VLOOKUP(IF('ブロック表'!$D$16=9,ゲームNo!$D200,IF('ブロック表'!$D$16=10,ゲームNo!$J200,IF('ブロック表'!$D$16=11,ゲームNo!$P200,ゲームNo!$V200))),'ブロック表'!$A$4:$C$15,3,FALSE)</f>
        <v>京都</v>
      </c>
    </row>
    <row r="214" spans="1:13" ht="13.5" customHeight="1">
      <c r="A214" s="98">
        <v>199</v>
      </c>
      <c r="B214" s="70">
        <v>40</v>
      </c>
      <c r="C214" s="132">
        <v>4</v>
      </c>
      <c r="D214" s="104" t="str">
        <f t="shared" si="6"/>
        <v>京都白澤 雄一郎</v>
      </c>
      <c r="E214" s="104" t="str">
        <f t="shared" si="7"/>
        <v>兵庫加藤 秀万</v>
      </c>
      <c r="F214" s="71" t="str">
        <f>VLOOKUP(IF('ブロック表'!$D$16=9,ゲームNo!$C201,IF('ブロック表'!$D$16=10,ゲームNo!$I201,IF('ブロック表'!$D$16=11,ゲームNo!$O201,ゲームNo!$U201))),'ブロック表'!$A$4:$C$15,3,FALSE)</f>
        <v>兵庫</v>
      </c>
      <c r="G214" s="15" t="str">
        <f>VLOOKUP(IF('ブロック表'!$D$16=9,ゲームNo!$C201,IF('ブロック表'!$D$16=10,ゲームNo!$I201,IF('ブロック表'!$D$16=11,ゲームNo!$O201,ゲームNo!$U201))),'ブロック表'!$A$4:$N$15,11,FALSE)</f>
        <v>白澤 雄一郎</v>
      </c>
      <c r="H214" s="82"/>
      <c r="I214" s="83" t="s">
        <v>394</v>
      </c>
      <c r="J214" s="84">
        <v>20</v>
      </c>
      <c r="K214" s="82"/>
      <c r="L214" s="21" t="str">
        <f>VLOOKUP(IF('ブロック表'!$D$16=9,ゲームNo!$D201,IF('ブロック表'!$D$16=10,ゲームNo!$J201,IF('ブロック表'!$D$16=11,ゲームNo!$P201,ゲームNo!$V201))),'ブロック表'!$A$4:$N$15,11,FALSE)</f>
        <v>加藤 秀万</v>
      </c>
      <c r="M214" s="72" t="str">
        <f>VLOOKUP(IF('ブロック表'!$D$16=9,ゲームNo!$D201,IF('ブロック表'!$D$16=10,ゲームNo!$J201,IF('ブロック表'!$D$16=11,ゲームNo!$P201,ゲームNo!$V201))),'ブロック表'!$A$4:$C$15,3,FALSE)</f>
        <v>京都</v>
      </c>
    </row>
    <row r="215" spans="1:13" ht="14.25" customHeight="1">
      <c r="A215" s="263">
        <v>200</v>
      </c>
      <c r="B215" s="264">
        <v>40</v>
      </c>
      <c r="C215" s="265">
        <v>5</v>
      </c>
      <c r="D215" s="266" t="str">
        <f t="shared" si="6"/>
        <v>京都平井 洸志</v>
      </c>
      <c r="E215" s="266" t="str">
        <f t="shared" si="7"/>
        <v>兵庫山下 直生</v>
      </c>
      <c r="F215" s="267" t="str">
        <f>VLOOKUP(IF('ブロック表'!$D$16=9,ゲームNo!$C202,IF('ブロック表'!$D$16=10,ゲームNo!$I202,IF('ブロック表'!$D$16=11,ゲームNo!$O202,ゲームNo!$U202))),'ブロック表'!$A$4:$C$15,3,FALSE)</f>
        <v>兵庫</v>
      </c>
      <c r="G215" s="268" t="str">
        <f>VLOOKUP(IF('ブロック表'!$D$16=9,ゲームNo!$C202,IF('ブロック表'!$D$16=10,ゲームNo!$I202,IF('ブロック表'!$D$16=11,ゲームNo!$O202,ゲームNo!$U202))),'ブロック表'!$A$4:$N$15,13,FALSE)</f>
        <v>平井 洸志</v>
      </c>
      <c r="H215" s="269"/>
      <c r="I215" s="270">
        <v>7</v>
      </c>
      <c r="J215" s="271" t="s">
        <v>394</v>
      </c>
      <c r="K215" s="269"/>
      <c r="L215" s="272" t="str">
        <f>VLOOKUP(IF('ブロック表'!$D$16=9,ゲームNo!$D202,IF('ブロック表'!$D$16=10,ゲームNo!$J202,IF('ブロック表'!$D$16=11,ゲームNo!$P202,ゲームNo!$V202))),'ブロック表'!$A$4:$N$15,13,FALSE)</f>
        <v>山下 直生</v>
      </c>
      <c r="M215" s="273" t="str">
        <f>VLOOKUP(IF('ブロック表'!$D$16=9,ゲームNo!$D202,IF('ブロック表'!$D$16=10,ゲームNo!$J202,IF('ブロック表'!$D$16=11,ゲームNo!$P202,ゲームNo!$V202))),'ブロック表'!$A$4:$C$15,3,FALSE)</f>
        <v>京都</v>
      </c>
    </row>
    <row r="216" spans="1:13" ht="13.5" customHeight="1">
      <c r="A216" s="223">
        <v>201</v>
      </c>
      <c r="B216" s="70">
        <v>41</v>
      </c>
      <c r="C216" s="224">
        <v>1</v>
      </c>
      <c r="D216" s="104" t="str">
        <f t="shared" si="6"/>
        <v>奈良酒井 美希</v>
      </c>
      <c r="E216" s="104" t="str">
        <f t="shared" si="7"/>
        <v>滋賀岩本 剛</v>
      </c>
      <c r="F216" s="225" t="str">
        <f>VLOOKUP(IF('ブロック表'!$D$16=9,ゲームNo!$C203,IF('ブロック表'!$D$16=10,ゲームNo!$I203,IF('ブロック表'!$D$16=11,ゲームNo!$O203,ゲームNo!$U203))),'ブロック表'!$A$4:$C$15,3,FALSE)</f>
        <v>滋賀</v>
      </c>
      <c r="G216" s="226" t="str">
        <f>VLOOKUP(IF('ブロック表'!$D$16=9,ゲームNo!$C203,IF('ブロック表'!$D$16=10,ゲームNo!$I203,IF('ブロック表'!$D$16=11,ゲームNo!$O203,ゲームNo!$U203))),'ブロック表'!$A$4:$N$15,5,FALSE)</f>
        <v>酒井 美希</v>
      </c>
      <c r="H216" s="227"/>
      <c r="I216" s="228">
        <v>92</v>
      </c>
      <c r="J216" s="229" t="s">
        <v>394</v>
      </c>
      <c r="K216" s="227"/>
      <c r="L216" s="230" t="str">
        <f>VLOOKUP(IF('ブロック表'!$D$16=9,ゲームNo!$D203,IF('ブロック表'!$D$16=10,ゲームNo!$J203,IF('ブロック表'!$D$16=11,ゲームNo!$P203,ゲームNo!$V203))),'ブロック表'!$A$4:$N$15,5,FALSE)</f>
        <v>岩本 剛</v>
      </c>
      <c r="M216" s="231" t="str">
        <f>VLOOKUP(IF('ブロック表'!$D$16=9,ゲームNo!$D203,IF('ブロック表'!$D$16=10,ゲームNo!$J203,IF('ブロック表'!$D$16=11,ゲームNo!$P203,ゲームNo!$V203))),'ブロック表'!$A$4:$C$15,3,FALSE)</f>
        <v>奈良</v>
      </c>
    </row>
    <row r="217" spans="1:13" ht="13.5" customHeight="1">
      <c r="A217" s="98">
        <v>202</v>
      </c>
      <c r="B217" s="70">
        <v>41</v>
      </c>
      <c r="C217" s="132">
        <v>2</v>
      </c>
      <c r="D217" s="104" t="str">
        <f t="shared" si="6"/>
        <v>奈良大橋 義治</v>
      </c>
      <c r="E217" s="104" t="str">
        <f t="shared" si="7"/>
        <v>滋賀水田 賢宏</v>
      </c>
      <c r="F217" s="71" t="str">
        <f>VLOOKUP(IF('ブロック表'!$D$16=9,ゲームNo!$C204,IF('ブロック表'!$D$16=10,ゲームNo!$I204,IF('ブロック表'!$D$16=11,ゲームNo!$O204,ゲームNo!$U204))),'ブロック表'!$A$4:$C$15,3,FALSE)</f>
        <v>滋賀</v>
      </c>
      <c r="G217" s="15" t="str">
        <f>VLOOKUP(IF('ブロック表'!$D$16=9,ゲームNo!$C204,IF('ブロック表'!$D$16=10,ゲームNo!$I204,IF('ブロック表'!$D$16=11,ゲームNo!$O204,ゲームNo!$U204))),'ブロック表'!$A$4:$N$15,7,FALSE)</f>
        <v>大橋 義治</v>
      </c>
      <c r="H217" s="82"/>
      <c r="I217" s="83">
        <v>111</v>
      </c>
      <c r="J217" s="84" t="s">
        <v>394</v>
      </c>
      <c r="K217" s="82">
        <v>117</v>
      </c>
      <c r="L217" s="21" t="str">
        <f>VLOOKUP(IF('ブロック表'!$D$16=9,ゲームNo!$D204,IF('ブロック表'!$D$16=10,ゲームNo!$J204,IF('ブロック表'!$D$16=11,ゲームNo!$P204,ゲームNo!$V204))),'ブロック表'!$A$4:$N$15,7,FALSE)</f>
        <v>水田 賢宏</v>
      </c>
      <c r="M217" s="72" t="str">
        <f>VLOOKUP(IF('ブロック表'!$D$16=9,ゲームNo!$D204,IF('ブロック表'!$D$16=10,ゲームNo!$J204,IF('ブロック表'!$D$16=11,ゲームNo!$P204,ゲームNo!$V204))),'ブロック表'!$A$4:$C$15,3,FALSE)</f>
        <v>奈良</v>
      </c>
    </row>
    <row r="218" spans="1:13" ht="13.5" customHeight="1">
      <c r="A218" s="98">
        <v>203</v>
      </c>
      <c r="B218" s="70">
        <v>41</v>
      </c>
      <c r="C218" s="132">
        <v>3</v>
      </c>
      <c r="D218" s="104" t="str">
        <f t="shared" si="6"/>
        <v>奈良西峰 久祐</v>
      </c>
      <c r="E218" s="104" t="str">
        <f t="shared" si="7"/>
        <v>滋賀長谷川 進</v>
      </c>
      <c r="F218" s="71" t="str">
        <f>VLOOKUP(IF('ブロック表'!$D$16=9,ゲームNo!$C205,IF('ブロック表'!$D$16=10,ゲームNo!$I205,IF('ブロック表'!$D$16=11,ゲームNo!$O205,ゲームNo!$U205))),'ブロック表'!$A$4:$C$15,3,FALSE)</f>
        <v>滋賀</v>
      </c>
      <c r="G218" s="15" t="str">
        <f>VLOOKUP(IF('ブロック表'!$D$16=9,ゲームNo!$C205,IF('ブロック表'!$D$16=10,ゲームNo!$I205,IF('ブロック表'!$D$16=11,ゲームNo!$O205,ゲームNo!$U205))),'ブロック表'!$A$4:$N$15,9,FALSE)</f>
        <v>西峰 久祐</v>
      </c>
      <c r="H218" s="82"/>
      <c r="I218" s="83" t="s">
        <v>394</v>
      </c>
      <c r="J218" s="84">
        <v>68</v>
      </c>
      <c r="K218" s="82"/>
      <c r="L218" s="21" t="str">
        <f>VLOOKUP(IF('ブロック表'!$D$16=9,ゲームNo!$D205,IF('ブロック表'!$D$16=10,ゲームNo!$J205,IF('ブロック表'!$D$16=11,ゲームNo!$P205,ゲームNo!$V205))),'ブロック表'!$A$4:$N$15,9,FALSE)</f>
        <v>長谷川 進</v>
      </c>
      <c r="M218" s="72" t="str">
        <f>VLOOKUP(IF('ブロック表'!$D$16=9,ゲームNo!$D205,IF('ブロック表'!$D$16=10,ゲームNo!$J205,IF('ブロック表'!$D$16=11,ゲームNo!$P205,ゲームNo!$V205))),'ブロック表'!$A$4:$C$15,3,FALSE)</f>
        <v>奈良</v>
      </c>
    </row>
    <row r="219" spans="1:13" ht="13.5" customHeight="1">
      <c r="A219" s="98">
        <v>204</v>
      </c>
      <c r="B219" s="70">
        <v>41</v>
      </c>
      <c r="C219" s="132">
        <v>4</v>
      </c>
      <c r="D219" s="104" t="str">
        <f t="shared" si="6"/>
        <v>奈良長田 智紀</v>
      </c>
      <c r="E219" s="104" t="str">
        <f t="shared" si="7"/>
        <v>滋賀植田 慎也</v>
      </c>
      <c r="F219" s="71" t="str">
        <f>VLOOKUP(IF('ブロック表'!$D$16=9,ゲームNo!$C206,IF('ブロック表'!$D$16=10,ゲームNo!$I206,IF('ブロック表'!$D$16=11,ゲームNo!$O206,ゲームNo!$U206))),'ブロック表'!$A$4:$C$15,3,FALSE)</f>
        <v>滋賀</v>
      </c>
      <c r="G219" s="15" t="str">
        <f>VLOOKUP(IF('ブロック表'!$D$16=9,ゲームNo!$C206,IF('ブロック表'!$D$16=10,ゲームNo!$I206,IF('ブロック表'!$D$16=11,ゲームNo!$O206,ゲームNo!$U206))),'ブロック表'!$A$4:$N$15,11,FALSE)</f>
        <v>長田 智紀</v>
      </c>
      <c r="H219" s="82"/>
      <c r="I219" s="83">
        <v>85</v>
      </c>
      <c r="J219" s="84" t="s">
        <v>396</v>
      </c>
      <c r="K219" s="82"/>
      <c r="L219" s="21" t="str">
        <f>VLOOKUP(IF('ブロック表'!$D$16=9,ゲームNo!$D206,IF('ブロック表'!$D$16=10,ゲームNo!$J206,IF('ブロック表'!$D$16=11,ゲームNo!$P206,ゲームNo!$V206))),'ブロック表'!$A$4:$N$15,11,FALSE)</f>
        <v>植田 慎也</v>
      </c>
      <c r="M219" s="72" t="str">
        <f>VLOOKUP(IF('ブロック表'!$D$16=9,ゲームNo!$D206,IF('ブロック表'!$D$16=10,ゲームNo!$J206,IF('ブロック表'!$D$16=11,ゲームNo!$P206,ゲームNo!$V206))),'ブロック表'!$A$4:$C$15,3,FALSE)</f>
        <v>奈良</v>
      </c>
    </row>
    <row r="220" spans="1:13" ht="14.25" customHeight="1">
      <c r="A220" s="99">
        <v>205</v>
      </c>
      <c r="B220" s="73">
        <v>41</v>
      </c>
      <c r="C220" s="133">
        <v>5</v>
      </c>
      <c r="D220" s="105" t="str">
        <f t="shared" si="6"/>
        <v>奈良大橋 正寛</v>
      </c>
      <c r="E220" s="105" t="str">
        <f t="shared" si="7"/>
        <v>滋賀山田 晃司</v>
      </c>
      <c r="F220" s="74" t="str">
        <f>VLOOKUP(IF('ブロック表'!$D$16=9,ゲームNo!$C207,IF('ブロック表'!$D$16=10,ゲームNo!$I207,IF('ブロック表'!$D$16=11,ゲームNo!$O207,ゲームNo!$U207))),'ブロック表'!$A$4:$C$15,3,FALSE)</f>
        <v>滋賀</v>
      </c>
      <c r="G220" s="17" t="str">
        <f>VLOOKUP(IF('ブロック表'!$D$16=9,ゲームNo!$C207,IF('ブロック表'!$D$16=10,ゲームNo!$I207,IF('ブロック表'!$D$16=11,ゲームNo!$O207,ゲームNo!$U207))),'ブロック表'!$A$4:$N$15,13,FALSE)</f>
        <v>大橋 正寛</v>
      </c>
      <c r="H220" s="85"/>
      <c r="I220" s="86">
        <v>73</v>
      </c>
      <c r="J220" s="87" t="s">
        <v>394</v>
      </c>
      <c r="K220" s="85"/>
      <c r="L220" s="22" t="str">
        <f>VLOOKUP(IF('ブロック表'!$D$16=9,ゲームNo!$D207,IF('ブロック表'!$D$16=10,ゲームNo!$J207,IF('ブロック表'!$D$16=11,ゲームNo!$P207,ゲームNo!$V207))),'ブロック表'!$A$4:$N$15,13,FALSE)</f>
        <v>山田 晃司</v>
      </c>
      <c r="M220" s="75" t="str">
        <f>VLOOKUP(IF('ブロック表'!$D$16=9,ゲームNo!$D207,IF('ブロック表'!$D$16=10,ゲームNo!$J207,IF('ブロック表'!$D$16=11,ゲームNo!$P207,ゲームNo!$V207))),'ブロック表'!$A$4:$C$15,3,FALSE)</f>
        <v>奈良</v>
      </c>
    </row>
    <row r="221" spans="1:13" ht="13.5" customHeight="1">
      <c r="A221" s="97">
        <v>206</v>
      </c>
      <c r="B221" s="92">
        <v>42</v>
      </c>
      <c r="C221" s="131">
        <v>1</v>
      </c>
      <c r="D221" s="106" t="str">
        <f t="shared" si="6"/>
        <v>三重岸上 賢一</v>
      </c>
      <c r="E221" s="106" t="str">
        <f t="shared" si="7"/>
        <v>和歌山水野 憲一</v>
      </c>
      <c r="F221" s="76" t="str">
        <f>VLOOKUP(IF('ブロック表'!$D$16=9,ゲームNo!$C208,IF('ブロック表'!$D$16=10,ゲームNo!$I208,IF('ブロック表'!$D$16=11,ゲームNo!$O208,ゲームNo!$U208))),'ブロック表'!$A$4:$C$15,3,FALSE)</f>
        <v>和歌山</v>
      </c>
      <c r="G221" s="19" t="str">
        <f>VLOOKUP(IF('ブロック表'!$D$16=9,ゲームNo!$C208,IF('ブロック表'!$D$16=10,ゲームNo!$I208,IF('ブロック表'!$D$16=11,ゲームNo!$O208,ゲームNo!$U208))),'ブロック表'!$A$4:$N$15,5,FALSE)</f>
        <v>岸上 賢一</v>
      </c>
      <c r="H221" s="88"/>
      <c r="I221" s="89">
        <v>66</v>
      </c>
      <c r="J221" s="90" t="s">
        <v>394</v>
      </c>
      <c r="K221" s="88"/>
      <c r="L221" s="20" t="str">
        <f>VLOOKUP(IF('ブロック表'!$D$16=9,ゲームNo!$D208,IF('ブロック表'!$D$16=10,ゲームNo!$J208,IF('ブロック表'!$D$16=11,ゲームNo!$P208,ゲームNo!$V208))),'ブロック表'!$A$4:$N$15,5,FALSE)</f>
        <v>水野 憲一</v>
      </c>
      <c r="M221" s="93" t="str">
        <f>VLOOKUP(IF('ブロック表'!$D$16=9,ゲームNo!$D208,IF('ブロック表'!$D$16=10,ゲームNo!$J208,IF('ブロック表'!$D$16=11,ゲームNo!$P208,ゲームNo!$V208))),'ブロック表'!$A$4:$C$15,3,FALSE)</f>
        <v>三重</v>
      </c>
    </row>
    <row r="222" spans="1:13" ht="13.5" customHeight="1">
      <c r="A222" s="98">
        <v>207</v>
      </c>
      <c r="B222" s="70">
        <v>42</v>
      </c>
      <c r="C222" s="132">
        <v>2</v>
      </c>
      <c r="D222" s="104" t="str">
        <f t="shared" si="6"/>
        <v>三重末岡 修</v>
      </c>
      <c r="E222" s="104" t="str">
        <f t="shared" si="7"/>
        <v>和歌山市川 裕貴</v>
      </c>
      <c r="F222" s="71" t="str">
        <f>VLOOKUP(IF('ブロック表'!$D$16=9,ゲームNo!$C209,IF('ブロック表'!$D$16=10,ゲームNo!$I209,IF('ブロック表'!$D$16=11,ゲームNo!$O209,ゲームNo!$U209))),'ブロック表'!$A$4:$C$15,3,FALSE)</f>
        <v>和歌山</v>
      </c>
      <c r="G222" s="15" t="str">
        <f>VLOOKUP(IF('ブロック表'!$D$16=9,ゲームNo!$C209,IF('ブロック表'!$D$16=10,ゲームNo!$I209,IF('ブロック表'!$D$16=11,ゲームNo!$O209,ゲームNo!$U209))),'ブロック表'!$A$4:$N$15,7,FALSE)</f>
        <v>末岡 修</v>
      </c>
      <c r="H222" s="82"/>
      <c r="I222" s="83">
        <v>13</v>
      </c>
      <c r="J222" s="84" t="s">
        <v>394</v>
      </c>
      <c r="K222" s="82"/>
      <c r="L222" s="21" t="str">
        <f>VLOOKUP(IF('ブロック表'!$D$16=9,ゲームNo!$D209,IF('ブロック表'!$D$16=10,ゲームNo!$J209,IF('ブロック表'!$D$16=11,ゲームNo!$P209,ゲームNo!$V209))),'ブロック表'!$A$4:$N$15,7,FALSE)</f>
        <v>市川 裕貴</v>
      </c>
      <c r="M222" s="72" t="str">
        <f>VLOOKUP(IF('ブロック表'!$D$16=9,ゲームNo!$D209,IF('ブロック表'!$D$16=10,ゲームNo!$J209,IF('ブロック表'!$D$16=11,ゲームNo!$P209,ゲームNo!$V209))),'ブロック表'!$A$4:$C$15,3,FALSE)</f>
        <v>三重</v>
      </c>
    </row>
    <row r="223" spans="1:13" ht="13.5" customHeight="1">
      <c r="A223" s="98">
        <v>208</v>
      </c>
      <c r="B223" s="70">
        <v>42</v>
      </c>
      <c r="C223" s="132">
        <v>3</v>
      </c>
      <c r="D223" s="104" t="str">
        <f t="shared" si="6"/>
        <v>三重杉本 博章</v>
      </c>
      <c r="E223" s="104" t="str">
        <f t="shared" si="7"/>
        <v>和歌山黒宮 健二</v>
      </c>
      <c r="F223" s="71" t="str">
        <f>VLOOKUP(IF('ブロック表'!$D$16=9,ゲームNo!$C210,IF('ブロック表'!$D$16=10,ゲームNo!$I210,IF('ブロック表'!$D$16=11,ゲームNo!$O210,ゲームNo!$U210))),'ブロック表'!$A$4:$C$15,3,FALSE)</f>
        <v>和歌山</v>
      </c>
      <c r="G223" s="15" t="str">
        <f>VLOOKUP(IF('ブロック表'!$D$16=9,ゲームNo!$C210,IF('ブロック表'!$D$16=10,ゲームNo!$I210,IF('ブロック表'!$D$16=11,ゲームNo!$O210,ゲームNo!$U210))),'ブロック表'!$A$4:$N$15,9,FALSE)</f>
        <v>杉本 博章</v>
      </c>
      <c r="H223" s="82"/>
      <c r="I223" s="83">
        <v>79</v>
      </c>
      <c r="J223" s="84" t="s">
        <v>394</v>
      </c>
      <c r="K223" s="82"/>
      <c r="L223" s="21" t="str">
        <f>VLOOKUP(IF('ブロック表'!$D$16=9,ゲームNo!$D210,IF('ブロック表'!$D$16=10,ゲームNo!$J210,IF('ブロック表'!$D$16=11,ゲームNo!$P210,ゲームNo!$V210))),'ブロック表'!$A$4:$N$15,9,FALSE)</f>
        <v>黒宮 健二</v>
      </c>
      <c r="M223" s="72" t="str">
        <f>VLOOKUP(IF('ブロック表'!$D$16=9,ゲームNo!$D210,IF('ブロック表'!$D$16=10,ゲームNo!$J210,IF('ブロック表'!$D$16=11,ゲームNo!$P210,ゲームNo!$V210))),'ブロック表'!$A$4:$C$15,3,FALSE)</f>
        <v>三重</v>
      </c>
    </row>
    <row r="224" spans="1:13" ht="13.5" customHeight="1">
      <c r="A224" s="98">
        <v>209</v>
      </c>
      <c r="B224" s="70">
        <v>42</v>
      </c>
      <c r="C224" s="132">
        <v>4</v>
      </c>
      <c r="D224" s="104" t="str">
        <f t="shared" si="6"/>
        <v>三重丹次 力良</v>
      </c>
      <c r="E224" s="104" t="str">
        <f t="shared" si="7"/>
        <v>和歌山杉本 諭</v>
      </c>
      <c r="F224" s="71" t="str">
        <f>VLOOKUP(IF('ブロック表'!$D$16=9,ゲームNo!$C211,IF('ブロック表'!$D$16=10,ゲームNo!$I211,IF('ブロック表'!$D$16=11,ゲームNo!$O211,ゲームNo!$U211))),'ブロック表'!$A$4:$C$15,3,FALSE)</f>
        <v>和歌山</v>
      </c>
      <c r="G224" s="15" t="str">
        <f>VLOOKUP(IF('ブロック表'!$D$16=9,ゲームNo!$C211,IF('ブロック表'!$D$16=10,ゲームNo!$I211,IF('ブロック表'!$D$16=11,ゲームNo!$O211,ゲームNo!$U211))),'ブロック表'!$A$4:$N$15,11,FALSE)</f>
        <v>丹次 力良</v>
      </c>
      <c r="H224" s="82"/>
      <c r="I224" s="83">
        <v>53</v>
      </c>
      <c r="J224" s="84" t="s">
        <v>394</v>
      </c>
      <c r="K224" s="82"/>
      <c r="L224" s="21" t="str">
        <f>VLOOKUP(IF('ブロック表'!$D$16=9,ゲームNo!$D211,IF('ブロック表'!$D$16=10,ゲームNo!$J211,IF('ブロック表'!$D$16=11,ゲームNo!$P211,ゲームNo!$V211))),'ブロック表'!$A$4:$N$15,11,FALSE)</f>
        <v>杉本 諭</v>
      </c>
      <c r="M224" s="72" t="str">
        <f>VLOOKUP(IF('ブロック表'!$D$16=9,ゲームNo!$D211,IF('ブロック表'!$D$16=10,ゲームNo!$J211,IF('ブロック表'!$D$16=11,ゲームNo!$P211,ゲームNo!$V211))),'ブロック表'!$A$4:$C$15,3,FALSE)</f>
        <v>三重</v>
      </c>
    </row>
    <row r="225" spans="1:13" ht="14.25" customHeight="1">
      <c r="A225" s="99">
        <v>210</v>
      </c>
      <c r="B225" s="73">
        <v>42</v>
      </c>
      <c r="C225" s="133">
        <v>5</v>
      </c>
      <c r="D225" s="105" t="str">
        <f t="shared" si="6"/>
        <v>三重和田 宗一郎</v>
      </c>
      <c r="E225" s="105" t="str">
        <f t="shared" si="7"/>
        <v>和歌山森本 英幸</v>
      </c>
      <c r="F225" s="74" t="str">
        <f>VLOOKUP(IF('ブロック表'!$D$16=9,ゲームNo!$C212,IF('ブロック表'!$D$16=10,ゲームNo!$I212,IF('ブロック表'!$D$16=11,ゲームNo!$O212,ゲームNo!$U212))),'ブロック表'!$A$4:$C$15,3,FALSE)</f>
        <v>和歌山</v>
      </c>
      <c r="G225" s="17" t="str">
        <f>VLOOKUP(IF('ブロック表'!$D$16=9,ゲームNo!$C212,IF('ブロック表'!$D$16=10,ゲームNo!$I212,IF('ブロック表'!$D$16=11,ゲームNo!$O212,ゲームNo!$U212))),'ブロック表'!$A$4:$N$15,13,FALSE)</f>
        <v>和田 宗一郎</v>
      </c>
      <c r="H225" s="85"/>
      <c r="I225" s="86" t="s">
        <v>394</v>
      </c>
      <c r="J225" s="87">
        <v>111</v>
      </c>
      <c r="K225" s="85"/>
      <c r="L225" s="22" t="str">
        <f>VLOOKUP(IF('ブロック表'!$D$16=9,ゲームNo!$D212,IF('ブロック表'!$D$16=10,ゲームNo!$J212,IF('ブロック表'!$D$16=11,ゲームNo!$P212,ゲームNo!$V212))),'ブロック表'!$A$4:$N$15,13,FALSE)</f>
        <v>森本 英幸</v>
      </c>
      <c r="M225" s="75" t="str">
        <f>VLOOKUP(IF('ブロック表'!$D$16=9,ゲームNo!$D212,IF('ブロック表'!$D$16=10,ゲームNo!$J212,IF('ブロック表'!$D$16=11,ゲームNo!$P212,ゲームNo!$V212))),'ブロック表'!$A$4:$C$15,3,FALSE)</f>
        <v>三重</v>
      </c>
    </row>
    <row r="226" spans="1:13" ht="13.5" customHeight="1">
      <c r="A226" s="97">
        <v>211</v>
      </c>
      <c r="B226" s="92">
        <v>43</v>
      </c>
      <c r="C226" s="131">
        <v>1</v>
      </c>
      <c r="D226" s="106" t="str">
        <f t="shared" si="6"/>
        <v>岐阜村上 泰辰</v>
      </c>
      <c r="E226" s="106" t="str">
        <f t="shared" si="7"/>
        <v>大阪A木村 隼人</v>
      </c>
      <c r="F226" s="76" t="str">
        <f>VLOOKUP(IF('ブロック表'!$D$16=9,ゲームNo!$C213,IF('ブロック表'!$D$16=10,ゲームNo!$I213,IF('ブロック表'!$D$16=11,ゲームNo!$O213,ゲームNo!$U213))),'ブロック表'!$A$4:$C$15,3,FALSE)</f>
        <v>大阪A</v>
      </c>
      <c r="G226" s="19" t="str">
        <f>VLOOKUP(IF('ブロック表'!$D$16=9,ゲームNo!$C213,IF('ブロック表'!$D$16=10,ゲームNo!$I213,IF('ブロック表'!$D$16=11,ゲームNo!$O213,ゲームNo!$U213))),'ブロック表'!$A$4:$N$15,5,FALSE)</f>
        <v>村上 泰辰</v>
      </c>
      <c r="H226" s="88">
        <v>110</v>
      </c>
      <c r="I226" s="89">
        <v>110</v>
      </c>
      <c r="J226" s="90" t="s">
        <v>395</v>
      </c>
      <c r="K226" s="88">
        <v>130</v>
      </c>
      <c r="L226" s="20" t="str">
        <f>VLOOKUP(IF('ブロック表'!$D$16=9,ゲームNo!$D213,IF('ブロック表'!$D$16=10,ゲームNo!$J213,IF('ブロック表'!$D$16=11,ゲームNo!$P213,ゲームNo!$V213))),'ブロック表'!$A$4:$N$15,5,FALSE)</f>
        <v>木村 隼人</v>
      </c>
      <c r="M226" s="93" t="str">
        <f>VLOOKUP(IF('ブロック表'!$D$16=9,ゲームNo!$D213,IF('ブロック表'!$D$16=10,ゲームNo!$J213,IF('ブロック表'!$D$16=11,ゲームNo!$P213,ゲームNo!$V213))),'ブロック表'!$A$4:$C$15,3,FALSE)</f>
        <v>岐阜</v>
      </c>
    </row>
    <row r="227" spans="1:13" ht="13.5" customHeight="1">
      <c r="A227" s="98">
        <v>212</v>
      </c>
      <c r="B227" s="70">
        <v>43</v>
      </c>
      <c r="C227" s="132">
        <v>2</v>
      </c>
      <c r="D227" s="104" t="str">
        <f t="shared" si="6"/>
        <v>岐阜山岡 修二</v>
      </c>
      <c r="E227" s="104" t="str">
        <f t="shared" si="7"/>
        <v>大阪A辻 和美</v>
      </c>
      <c r="F227" s="71" t="str">
        <f>VLOOKUP(IF('ブロック表'!$D$16=9,ゲームNo!$C214,IF('ブロック表'!$D$16=10,ゲームNo!$I214,IF('ブロック表'!$D$16=11,ゲームNo!$O214,ゲームNo!$U214))),'ブロック表'!$A$4:$C$15,3,FALSE)</f>
        <v>大阪A</v>
      </c>
      <c r="G227" s="15" t="str">
        <f>VLOOKUP(IF('ブロック表'!$D$16=9,ゲームNo!$C214,IF('ブロック表'!$D$16=10,ゲームNo!$I214,IF('ブロック表'!$D$16=11,ゲームNo!$O214,ゲームNo!$U214))),'ブロック表'!$A$4:$N$15,7,FALSE)</f>
        <v>山岡 修二</v>
      </c>
      <c r="H227" s="82"/>
      <c r="I227" s="83" t="s">
        <v>394</v>
      </c>
      <c r="J227" s="84">
        <v>3</v>
      </c>
      <c r="K227" s="82"/>
      <c r="L227" s="21" t="str">
        <f>VLOOKUP(IF('ブロック表'!$D$16=9,ゲームNo!$D214,IF('ブロック表'!$D$16=10,ゲームNo!$J214,IF('ブロック表'!$D$16=11,ゲームNo!$P214,ゲームNo!$V214))),'ブロック表'!$A$4:$N$15,7,FALSE)</f>
        <v>辻 和美</v>
      </c>
      <c r="M227" s="72" t="str">
        <f>VLOOKUP(IF('ブロック表'!$D$16=9,ゲームNo!$D214,IF('ブロック表'!$D$16=10,ゲームNo!$J214,IF('ブロック表'!$D$16=11,ゲームNo!$P214,ゲームNo!$V214))),'ブロック表'!$A$4:$C$15,3,FALSE)</f>
        <v>岐阜</v>
      </c>
    </row>
    <row r="228" spans="1:13" ht="13.5" customHeight="1">
      <c r="A228" s="98">
        <v>213</v>
      </c>
      <c r="B228" s="70">
        <v>43</v>
      </c>
      <c r="C228" s="132">
        <v>3</v>
      </c>
      <c r="D228" s="104" t="str">
        <f t="shared" si="6"/>
        <v>岐阜吉岡 保俊</v>
      </c>
      <c r="E228" s="104" t="str">
        <f t="shared" si="7"/>
        <v>大阪A徳永 修児</v>
      </c>
      <c r="F228" s="71" t="str">
        <f>VLOOKUP(IF('ブロック表'!$D$16=9,ゲームNo!$C215,IF('ブロック表'!$D$16=10,ゲームNo!$I215,IF('ブロック表'!$D$16=11,ゲームNo!$O215,ゲームNo!$U215))),'ブロック表'!$A$4:$C$15,3,FALSE)</f>
        <v>大阪A</v>
      </c>
      <c r="G228" s="15" t="str">
        <f>VLOOKUP(IF('ブロック表'!$D$16=9,ゲームNo!$C215,IF('ブロック表'!$D$16=10,ゲームNo!$I215,IF('ブロック表'!$D$16=11,ゲームNo!$O215,ゲームNo!$U215))),'ブロック表'!$A$4:$N$15,9,FALSE)</f>
        <v>吉岡 保俊</v>
      </c>
      <c r="H228" s="82"/>
      <c r="I228" s="83" t="s">
        <v>394</v>
      </c>
      <c r="J228" s="84">
        <v>21</v>
      </c>
      <c r="K228" s="82"/>
      <c r="L228" s="21" t="str">
        <f>VLOOKUP(IF('ブロック表'!$D$16=9,ゲームNo!$D215,IF('ブロック表'!$D$16=10,ゲームNo!$J215,IF('ブロック表'!$D$16=11,ゲームNo!$P215,ゲームNo!$V215))),'ブロック表'!$A$4:$N$15,9,FALSE)</f>
        <v>徳永 修児</v>
      </c>
      <c r="M228" s="72" t="str">
        <f>VLOOKUP(IF('ブロック表'!$D$16=9,ゲームNo!$D215,IF('ブロック表'!$D$16=10,ゲームNo!$J215,IF('ブロック表'!$D$16=11,ゲームNo!$P215,ゲームNo!$V215))),'ブロック表'!$A$4:$C$15,3,FALSE)</f>
        <v>岐阜</v>
      </c>
    </row>
    <row r="229" spans="1:13" ht="13.5" customHeight="1">
      <c r="A229" s="98">
        <v>214</v>
      </c>
      <c r="B229" s="70">
        <v>43</v>
      </c>
      <c r="C229" s="132">
        <v>4</v>
      </c>
      <c r="D229" s="104" t="str">
        <f t="shared" si="6"/>
        <v>岐阜乾 伸綱</v>
      </c>
      <c r="E229" s="104" t="str">
        <f t="shared" si="7"/>
        <v>大阪A高橋 浩之</v>
      </c>
      <c r="F229" s="71" t="str">
        <f>VLOOKUP(IF('ブロック表'!$D$16=9,ゲームNo!$C216,IF('ブロック表'!$D$16=10,ゲームNo!$I216,IF('ブロック表'!$D$16=11,ゲームNo!$O216,ゲームNo!$U216))),'ブロック表'!$A$4:$C$15,3,FALSE)</f>
        <v>大阪A</v>
      </c>
      <c r="G229" s="15" t="str">
        <f>VLOOKUP(IF('ブロック表'!$D$16=9,ゲームNo!$C216,IF('ブロック表'!$D$16=10,ゲームNo!$I216,IF('ブロック表'!$D$16=11,ゲームNo!$O216,ゲームNo!$U216))),'ブロック表'!$A$4:$N$15,11,FALSE)</f>
        <v>乾 伸綱</v>
      </c>
      <c r="H229" s="82"/>
      <c r="I229" s="83" t="s">
        <v>394</v>
      </c>
      <c r="J229" s="84">
        <v>19</v>
      </c>
      <c r="K229" s="82"/>
      <c r="L229" s="21" t="str">
        <f>VLOOKUP(IF('ブロック表'!$D$16=9,ゲームNo!$D216,IF('ブロック表'!$D$16=10,ゲームNo!$J216,IF('ブロック表'!$D$16=11,ゲームNo!$P216,ゲームNo!$V216))),'ブロック表'!$A$4:$N$15,11,FALSE)</f>
        <v>高橋 浩之</v>
      </c>
      <c r="M229" s="72" t="str">
        <f>VLOOKUP(IF('ブロック表'!$D$16=9,ゲームNo!$D216,IF('ブロック表'!$D$16=10,ゲームNo!$J216,IF('ブロック表'!$D$16=11,ゲームNo!$P216,ゲームNo!$V216))),'ブロック表'!$A$4:$C$15,3,FALSE)</f>
        <v>岐阜</v>
      </c>
    </row>
    <row r="230" spans="1:13" ht="14.25" customHeight="1">
      <c r="A230" s="99">
        <v>215</v>
      </c>
      <c r="B230" s="73">
        <v>43</v>
      </c>
      <c r="C230" s="133">
        <v>5</v>
      </c>
      <c r="D230" s="105" t="str">
        <f t="shared" si="6"/>
        <v>岐阜山田 玄英</v>
      </c>
      <c r="E230" s="105" t="str">
        <f t="shared" si="7"/>
        <v>大阪A野原 朋和</v>
      </c>
      <c r="F230" s="74" t="str">
        <f>VLOOKUP(IF('ブロック表'!$D$16=9,ゲームNo!$C217,IF('ブロック表'!$D$16=10,ゲームNo!$I217,IF('ブロック表'!$D$16=11,ゲームNo!$O217,ゲームNo!$U217))),'ブロック表'!$A$4:$C$15,3,FALSE)</f>
        <v>大阪A</v>
      </c>
      <c r="G230" s="17" t="str">
        <f>VLOOKUP(IF('ブロック表'!$D$16=9,ゲームNo!$C217,IF('ブロック表'!$D$16=10,ゲームNo!$I217,IF('ブロック表'!$D$16=11,ゲームNo!$O217,ゲームNo!$U217))),'ブロック表'!$A$4:$N$15,13,FALSE)</f>
        <v>山田 玄英</v>
      </c>
      <c r="H230" s="85"/>
      <c r="I230" s="86" t="s">
        <v>398</v>
      </c>
      <c r="J230" s="87">
        <v>12</v>
      </c>
      <c r="K230" s="85"/>
      <c r="L230" s="22" t="str">
        <f>VLOOKUP(IF('ブロック表'!$D$16=9,ゲームNo!$D217,IF('ブロック表'!$D$16=10,ゲームNo!$J217,IF('ブロック表'!$D$16=11,ゲームNo!$P217,ゲームNo!$V217))),'ブロック表'!$A$4:$N$15,13,FALSE)</f>
        <v>野原 朋和</v>
      </c>
      <c r="M230" s="75" t="str">
        <f>VLOOKUP(IF('ブロック表'!$D$16=9,ゲームNo!$D217,IF('ブロック表'!$D$16=10,ゲームNo!$J217,IF('ブロック表'!$D$16=11,ゲームNo!$P217,ゲームNo!$V217))),'ブロック表'!$A$4:$C$15,3,FALSE)</f>
        <v>岐阜</v>
      </c>
    </row>
    <row r="231" spans="1:13" ht="13.5" customHeight="1">
      <c r="A231" s="97">
        <v>216</v>
      </c>
      <c r="B231" s="92">
        <v>44</v>
      </c>
      <c r="C231" s="131">
        <v>1</v>
      </c>
      <c r="D231" s="106" t="str">
        <f t="shared" si="6"/>
        <v>大阪B今村 哲也</v>
      </c>
      <c r="E231" s="106" t="str">
        <f t="shared" si="7"/>
        <v>京都由本 拓</v>
      </c>
      <c r="F231" s="76" t="str">
        <f>VLOOKUP(IF('ブロック表'!$D$16=9,ゲームNo!$C218,IF('ブロック表'!$D$16=10,ゲームNo!$I218,IF('ブロック表'!$D$16=11,ゲームNo!$O218,ゲームNo!$U218))),'ブロック表'!$A$4:$C$15,3,FALSE)</f>
        <v>京都</v>
      </c>
      <c r="G231" s="19" t="str">
        <f>VLOOKUP(IF('ブロック表'!$D$16=9,ゲームNo!$C218,IF('ブロック表'!$D$16=10,ゲームNo!$I218,IF('ブロック表'!$D$16=11,ゲームNo!$O218,ゲームNo!$U218))),'ブロック表'!$A$4:$N$15,5,FALSE)</f>
        <v>今村 哲也</v>
      </c>
      <c r="H231" s="88"/>
      <c r="I231" s="89">
        <v>69</v>
      </c>
      <c r="J231" s="90" t="s">
        <v>394</v>
      </c>
      <c r="K231" s="88"/>
      <c r="L231" s="20" t="str">
        <f>VLOOKUP(IF('ブロック表'!$D$16=9,ゲームNo!$D218,IF('ブロック表'!$D$16=10,ゲームNo!$J218,IF('ブロック表'!$D$16=11,ゲームNo!$P218,ゲームNo!$V218))),'ブロック表'!$A$4:$N$15,5,FALSE)</f>
        <v>由本 拓</v>
      </c>
      <c r="M231" s="93" t="str">
        <f>VLOOKUP(IF('ブロック表'!$D$16=9,ゲームNo!$D218,IF('ブロック表'!$D$16=10,ゲームNo!$J218,IF('ブロック表'!$D$16=11,ゲームNo!$P218,ゲームNo!$V218))),'ブロック表'!$A$4:$C$15,3,FALSE)</f>
        <v>大阪B</v>
      </c>
    </row>
    <row r="232" spans="1:13" ht="13.5" customHeight="1">
      <c r="A232" s="98">
        <v>217</v>
      </c>
      <c r="B232" s="70">
        <v>44</v>
      </c>
      <c r="C232" s="132">
        <v>2</v>
      </c>
      <c r="D232" s="104" t="str">
        <f t="shared" si="6"/>
        <v>大阪B田附 裕次</v>
      </c>
      <c r="E232" s="104" t="str">
        <f t="shared" si="7"/>
        <v>京都西田 恵子</v>
      </c>
      <c r="F232" s="71" t="str">
        <f>VLOOKUP(IF('ブロック表'!$D$16=9,ゲームNo!$C219,IF('ブロック表'!$D$16=10,ゲームNo!$I219,IF('ブロック表'!$D$16=11,ゲームNo!$O219,ゲームNo!$U219))),'ブロック表'!$A$4:$C$15,3,FALSE)</f>
        <v>京都</v>
      </c>
      <c r="G232" s="15" t="str">
        <f>VLOOKUP(IF('ブロック表'!$D$16=9,ゲームNo!$C219,IF('ブロック表'!$D$16=10,ゲームNo!$I219,IF('ブロック表'!$D$16=11,ゲームNo!$O219,ゲームNo!$U219))),'ブロック表'!$A$4:$N$15,7,FALSE)</f>
        <v>田附 裕次</v>
      </c>
      <c r="H232" s="82"/>
      <c r="I232" s="83">
        <v>105</v>
      </c>
      <c r="J232" s="84" t="s">
        <v>394</v>
      </c>
      <c r="K232" s="82"/>
      <c r="L232" s="21" t="str">
        <f>VLOOKUP(IF('ブロック表'!$D$16=9,ゲームNo!$D219,IF('ブロック表'!$D$16=10,ゲームNo!$J219,IF('ブロック表'!$D$16=11,ゲームNo!$P219,ゲームNo!$V219))),'ブロック表'!$A$4:$N$15,7,FALSE)</f>
        <v>西田 恵子</v>
      </c>
      <c r="M232" s="72" t="str">
        <f>VLOOKUP(IF('ブロック表'!$D$16=9,ゲームNo!$D219,IF('ブロック表'!$D$16=10,ゲームNo!$J219,IF('ブロック表'!$D$16=11,ゲームNo!$P219,ゲームNo!$V219))),'ブロック表'!$A$4:$C$15,3,FALSE)</f>
        <v>大阪B</v>
      </c>
    </row>
    <row r="233" spans="1:13" ht="13.5" customHeight="1">
      <c r="A233" s="98">
        <v>218</v>
      </c>
      <c r="B233" s="70">
        <v>44</v>
      </c>
      <c r="C233" s="132">
        <v>3</v>
      </c>
      <c r="D233" s="104" t="str">
        <f t="shared" si="6"/>
        <v>大阪B佐藤 雄吾</v>
      </c>
      <c r="E233" s="104" t="str">
        <f t="shared" si="7"/>
        <v>京都野村 宗司</v>
      </c>
      <c r="F233" s="71" t="str">
        <f>VLOOKUP(IF('ブロック表'!$D$16=9,ゲームNo!$C220,IF('ブロック表'!$D$16=10,ゲームNo!$I220,IF('ブロック表'!$D$16=11,ゲームNo!$O220,ゲームNo!$U220))),'ブロック表'!$A$4:$C$15,3,FALSE)</f>
        <v>京都</v>
      </c>
      <c r="G233" s="15" t="str">
        <f>VLOOKUP(IF('ブロック表'!$D$16=9,ゲームNo!$C220,IF('ブロック表'!$D$16=10,ゲームNo!$I220,IF('ブロック表'!$D$16=11,ゲームNo!$O220,ゲームNo!$U220))),'ブロック表'!$A$4:$N$15,9,FALSE)</f>
        <v>佐藤 雄吾</v>
      </c>
      <c r="H233" s="82"/>
      <c r="I233" s="83">
        <v>38</v>
      </c>
      <c r="J233" s="84" t="s">
        <v>394</v>
      </c>
      <c r="K233" s="82"/>
      <c r="L233" s="21" t="str">
        <f>VLOOKUP(IF('ブロック表'!$D$16=9,ゲームNo!$D220,IF('ブロック表'!$D$16=10,ゲームNo!$J220,IF('ブロック表'!$D$16=11,ゲームNo!$P220,ゲームNo!$V220))),'ブロック表'!$A$4:$N$15,9,FALSE)</f>
        <v>野村 宗司</v>
      </c>
      <c r="M233" s="72" t="str">
        <f>VLOOKUP(IF('ブロック表'!$D$16=9,ゲームNo!$D220,IF('ブロック表'!$D$16=10,ゲームNo!$J220,IF('ブロック表'!$D$16=11,ゲームNo!$P220,ゲームNo!$V220))),'ブロック表'!$A$4:$C$15,3,FALSE)</f>
        <v>大阪B</v>
      </c>
    </row>
    <row r="234" spans="1:13" ht="13.5" customHeight="1">
      <c r="A234" s="98">
        <v>219</v>
      </c>
      <c r="B234" s="70">
        <v>44</v>
      </c>
      <c r="C234" s="132">
        <v>4</v>
      </c>
      <c r="D234" s="104" t="str">
        <f t="shared" si="6"/>
        <v>大阪B加藤 秀万</v>
      </c>
      <c r="E234" s="104" t="str">
        <f t="shared" si="7"/>
        <v>京都山崎 真紀子</v>
      </c>
      <c r="F234" s="71" t="str">
        <f>VLOOKUP(IF('ブロック表'!$D$16=9,ゲームNo!$C221,IF('ブロック表'!$D$16=10,ゲームNo!$I221,IF('ブロック表'!$D$16=11,ゲームNo!$O221,ゲームNo!$U221))),'ブロック表'!$A$4:$C$15,3,FALSE)</f>
        <v>京都</v>
      </c>
      <c r="G234" s="15" t="str">
        <f>VLOOKUP(IF('ブロック表'!$D$16=9,ゲームNo!$C221,IF('ブロック表'!$D$16=10,ゲームNo!$I221,IF('ブロック表'!$D$16=11,ゲームNo!$O221,ゲームNo!$U221))),'ブロック表'!$A$4:$N$15,11,FALSE)</f>
        <v>加藤 秀万</v>
      </c>
      <c r="H234" s="82"/>
      <c r="I234" s="83" t="s">
        <v>394</v>
      </c>
      <c r="J234" s="84">
        <v>46</v>
      </c>
      <c r="K234" s="82"/>
      <c r="L234" s="21" t="str">
        <f>VLOOKUP(IF('ブロック表'!$D$16=9,ゲームNo!$D221,IF('ブロック表'!$D$16=10,ゲームNo!$J221,IF('ブロック表'!$D$16=11,ゲームNo!$P221,ゲームNo!$V221))),'ブロック表'!$A$4:$N$15,11,FALSE)</f>
        <v>山崎 真紀子</v>
      </c>
      <c r="M234" s="72" t="str">
        <f>VLOOKUP(IF('ブロック表'!$D$16=9,ゲームNo!$D221,IF('ブロック表'!$D$16=10,ゲームNo!$J221,IF('ブロック表'!$D$16=11,ゲームNo!$P221,ゲームNo!$V221))),'ブロック表'!$A$4:$C$15,3,FALSE)</f>
        <v>大阪B</v>
      </c>
    </row>
    <row r="235" spans="1:13" ht="14.25" customHeight="1">
      <c r="A235" s="99">
        <v>220</v>
      </c>
      <c r="B235" s="73">
        <v>44</v>
      </c>
      <c r="C235" s="133">
        <v>5</v>
      </c>
      <c r="D235" s="105" t="str">
        <f t="shared" si="6"/>
        <v>大阪B山下 直生</v>
      </c>
      <c r="E235" s="105" t="str">
        <f t="shared" si="7"/>
        <v>京都小森 雅昭</v>
      </c>
      <c r="F235" s="74" t="str">
        <f>VLOOKUP(IF('ブロック表'!$D$16=9,ゲームNo!$C222,IF('ブロック表'!$D$16=10,ゲームNo!$I222,IF('ブロック表'!$D$16=11,ゲームNo!$O222,ゲームNo!$U222))),'ブロック表'!$A$4:$C$15,3,FALSE)</f>
        <v>京都</v>
      </c>
      <c r="G235" s="17" t="str">
        <f>VLOOKUP(IF('ブロック表'!$D$16=9,ゲームNo!$C222,IF('ブロック表'!$D$16=10,ゲームNo!$I222,IF('ブロック表'!$D$16=11,ゲームNo!$O222,ゲームNo!$U222))),'ブロック表'!$A$4:$N$15,13,FALSE)</f>
        <v>山下 直生</v>
      </c>
      <c r="H235" s="85"/>
      <c r="I235" s="86">
        <v>118</v>
      </c>
      <c r="J235" s="87" t="s">
        <v>394</v>
      </c>
      <c r="K235" s="85"/>
      <c r="L235" s="22" t="str">
        <f>VLOOKUP(IF('ブロック表'!$D$16=9,ゲームNo!$D222,IF('ブロック表'!$D$16=10,ゲームNo!$J222,IF('ブロック表'!$D$16=11,ゲームNo!$P222,ゲームNo!$V222))),'ブロック表'!$A$4:$N$15,13,FALSE)</f>
        <v>小森 雅昭</v>
      </c>
      <c r="M235" s="75" t="str">
        <f>VLOOKUP(IF('ブロック表'!$D$16=9,ゲームNo!$D222,IF('ブロック表'!$D$16=10,ゲームNo!$J222,IF('ブロック表'!$D$16=11,ゲームNo!$P222,ゲームNo!$V222))),'ブロック表'!$A$4:$C$15,3,FALSE)</f>
        <v>大阪B</v>
      </c>
    </row>
    <row r="236" spans="1:13" ht="13.5" customHeight="1">
      <c r="A236" s="223">
        <v>221</v>
      </c>
      <c r="B236" s="70">
        <v>45</v>
      </c>
      <c r="C236" s="224">
        <v>1</v>
      </c>
      <c r="D236" s="104" t="str">
        <f t="shared" si="6"/>
        <v>愛知高木 俊行</v>
      </c>
      <c r="E236" s="104" t="str">
        <f t="shared" si="7"/>
        <v>兵庫小川 晃</v>
      </c>
      <c r="F236" s="225" t="str">
        <f>VLOOKUP(IF('ブロック表'!$D$16=9,ゲームNo!$C223,IF('ブロック表'!$D$16=10,ゲームNo!$I223,IF('ブロック表'!$D$16=11,ゲームNo!$O223,ゲームNo!$U223))),'ブロック表'!$A$4:$C$15,3,FALSE)</f>
        <v>兵庫</v>
      </c>
      <c r="G236" s="226" t="str">
        <f>VLOOKUP(IF('ブロック表'!$D$16=9,ゲームNo!$C223,IF('ブロック表'!$D$16=10,ゲームNo!$I223,IF('ブロック表'!$D$16=11,ゲームNo!$O223,ゲームNo!$U223))),'ブロック表'!$A$4:$N$15,5,FALSE)</f>
        <v>高木 俊行</v>
      </c>
      <c r="H236" s="227"/>
      <c r="I236" s="228">
        <v>77</v>
      </c>
      <c r="J236" s="229" t="s">
        <v>394</v>
      </c>
      <c r="K236" s="227"/>
      <c r="L236" s="230" t="str">
        <f>VLOOKUP(IF('ブロック表'!$D$16=9,ゲームNo!$D223,IF('ブロック表'!$D$16=10,ゲームNo!$J223,IF('ブロック表'!$D$16=11,ゲームNo!$P223,ゲームNo!$V223))),'ブロック表'!$A$4:$N$15,5,FALSE)</f>
        <v>小川 晃</v>
      </c>
      <c r="M236" s="231" t="str">
        <f>VLOOKUP(IF('ブロック表'!$D$16=9,ゲームNo!$D223,IF('ブロック表'!$D$16=10,ゲームNo!$J223,IF('ブロック表'!$D$16=11,ゲームNo!$P223,ゲームNo!$V223))),'ブロック表'!$A$4:$C$15,3,FALSE)</f>
        <v>愛知</v>
      </c>
    </row>
    <row r="237" spans="1:13" ht="13.5" customHeight="1">
      <c r="A237" s="98">
        <v>222</v>
      </c>
      <c r="B237" s="70">
        <v>45</v>
      </c>
      <c r="C237" s="132">
        <v>2</v>
      </c>
      <c r="D237" s="104" t="str">
        <f t="shared" si="6"/>
        <v>愛知堂園 雅也</v>
      </c>
      <c r="E237" s="104" t="str">
        <f t="shared" si="7"/>
        <v>兵庫櫻井 崇之</v>
      </c>
      <c r="F237" s="71" t="str">
        <f>VLOOKUP(IF('ブロック表'!$D$16=9,ゲームNo!$C224,IF('ブロック表'!$D$16=10,ゲームNo!$I224,IF('ブロック表'!$D$16=11,ゲームNo!$O224,ゲームNo!$U224))),'ブロック表'!$A$4:$C$15,3,FALSE)</f>
        <v>兵庫</v>
      </c>
      <c r="G237" s="15" t="str">
        <f>VLOOKUP(IF('ブロック表'!$D$16=9,ゲームNo!$C224,IF('ブロック表'!$D$16=10,ゲームNo!$I224,IF('ブロック表'!$D$16=11,ゲームNo!$O224,ゲームNo!$U224))),'ブロック表'!$A$4:$N$15,7,FALSE)</f>
        <v>堂園 雅也</v>
      </c>
      <c r="H237" s="82">
        <v>117</v>
      </c>
      <c r="I237" s="83" t="s">
        <v>394</v>
      </c>
      <c r="J237" s="84">
        <v>32</v>
      </c>
      <c r="K237" s="82"/>
      <c r="L237" s="21" t="str">
        <f>VLOOKUP(IF('ブロック表'!$D$16=9,ゲームNo!$D224,IF('ブロック表'!$D$16=10,ゲームNo!$J224,IF('ブロック表'!$D$16=11,ゲームNo!$P224,ゲームNo!$V224))),'ブロック表'!$A$4:$N$15,7,FALSE)</f>
        <v>櫻井 崇之</v>
      </c>
      <c r="M237" s="72" t="str">
        <f>VLOOKUP(IF('ブロック表'!$D$16=9,ゲームNo!$D224,IF('ブロック表'!$D$16=10,ゲームNo!$J224,IF('ブロック表'!$D$16=11,ゲームNo!$P224,ゲームNo!$V224))),'ブロック表'!$A$4:$C$15,3,FALSE)</f>
        <v>愛知</v>
      </c>
    </row>
    <row r="238" spans="1:13" ht="13.5" customHeight="1">
      <c r="A238" s="98">
        <v>223</v>
      </c>
      <c r="B238" s="70">
        <v>45</v>
      </c>
      <c r="C238" s="132">
        <v>3</v>
      </c>
      <c r="D238" s="104" t="str">
        <f t="shared" si="6"/>
        <v>愛知森 映智</v>
      </c>
      <c r="E238" s="104" t="str">
        <f t="shared" si="7"/>
        <v>兵庫野田 絢也</v>
      </c>
      <c r="F238" s="71" t="str">
        <f>VLOOKUP(IF('ブロック表'!$D$16=9,ゲームNo!$C225,IF('ブロック表'!$D$16=10,ゲームNo!$I225,IF('ブロック表'!$D$16=11,ゲームNo!$O225,ゲームNo!$U225))),'ブロック表'!$A$4:$C$15,3,FALSE)</f>
        <v>兵庫</v>
      </c>
      <c r="G238" s="15" t="str">
        <f>VLOOKUP(IF('ブロック表'!$D$16=9,ゲームNo!$C225,IF('ブロック表'!$D$16=10,ゲームNo!$I225,IF('ブロック表'!$D$16=11,ゲームNo!$O225,ゲームNo!$U225))),'ブロック表'!$A$4:$N$15,9,FALSE)</f>
        <v>森 映智</v>
      </c>
      <c r="H238" s="82"/>
      <c r="I238" s="83" t="s">
        <v>409</v>
      </c>
      <c r="J238" s="84">
        <v>63</v>
      </c>
      <c r="K238" s="82"/>
      <c r="L238" s="21" t="str">
        <f>VLOOKUP(IF('ブロック表'!$D$16=9,ゲームNo!$D225,IF('ブロック表'!$D$16=10,ゲームNo!$J225,IF('ブロック表'!$D$16=11,ゲームNo!$P225,ゲームNo!$V225))),'ブロック表'!$A$4:$N$15,9,FALSE)</f>
        <v>野田 絢也</v>
      </c>
      <c r="M238" s="72" t="str">
        <f>VLOOKUP(IF('ブロック表'!$D$16=9,ゲームNo!$D225,IF('ブロック表'!$D$16=10,ゲームNo!$J225,IF('ブロック表'!$D$16=11,ゲームNo!$P225,ゲームNo!$V225))),'ブロック表'!$A$4:$C$15,3,FALSE)</f>
        <v>愛知</v>
      </c>
    </row>
    <row r="239" spans="1:13" ht="13.5" customHeight="1">
      <c r="A239" s="98">
        <v>224</v>
      </c>
      <c r="B239" s="70">
        <v>45</v>
      </c>
      <c r="C239" s="132">
        <v>4</v>
      </c>
      <c r="D239" s="104" t="str">
        <f t="shared" si="6"/>
        <v>愛知白澤 雄一郎</v>
      </c>
      <c r="E239" s="104" t="str">
        <f t="shared" si="7"/>
        <v>兵庫近藤 智靖</v>
      </c>
      <c r="F239" s="71" t="str">
        <f>VLOOKUP(IF('ブロック表'!$D$16=9,ゲームNo!$C226,IF('ブロック表'!$D$16=10,ゲームNo!$I226,IF('ブロック表'!$D$16=11,ゲームNo!$O226,ゲームNo!$U226))),'ブロック表'!$A$4:$C$15,3,FALSE)</f>
        <v>兵庫</v>
      </c>
      <c r="G239" s="15" t="str">
        <f>VLOOKUP(IF('ブロック表'!$D$16=9,ゲームNo!$C226,IF('ブロック表'!$D$16=10,ゲームNo!$I226,IF('ブロック表'!$D$16=11,ゲームNo!$O226,ゲームNo!$U226))),'ブロック表'!$A$4:$N$15,11,FALSE)</f>
        <v>白澤 雄一郎</v>
      </c>
      <c r="H239" s="82"/>
      <c r="I239" s="83">
        <v>89</v>
      </c>
      <c r="J239" s="84" t="s">
        <v>408</v>
      </c>
      <c r="K239" s="82"/>
      <c r="L239" s="21" t="str">
        <f>VLOOKUP(IF('ブロック表'!$D$16=9,ゲームNo!$D226,IF('ブロック表'!$D$16=10,ゲームNo!$J226,IF('ブロック表'!$D$16=11,ゲームNo!$P226,ゲームNo!$V226))),'ブロック表'!$A$4:$N$15,11,FALSE)</f>
        <v>近藤 智靖</v>
      </c>
      <c r="M239" s="72" t="str">
        <f>VLOOKUP(IF('ブロック表'!$D$16=9,ゲームNo!$D226,IF('ブロック表'!$D$16=10,ゲームNo!$J226,IF('ブロック表'!$D$16=11,ゲームNo!$P226,ゲームNo!$V226))),'ブロック表'!$A$4:$C$15,3,FALSE)</f>
        <v>愛知</v>
      </c>
    </row>
    <row r="240" spans="1:13" ht="14.25" customHeight="1">
      <c r="A240" s="99">
        <v>225</v>
      </c>
      <c r="B240" s="73">
        <v>45</v>
      </c>
      <c r="C240" s="133">
        <v>5</v>
      </c>
      <c r="D240" s="105" t="str">
        <f t="shared" si="6"/>
        <v>愛知平井 洸志</v>
      </c>
      <c r="E240" s="105" t="str">
        <f t="shared" si="7"/>
        <v>兵庫島田 隆嗣</v>
      </c>
      <c r="F240" s="74" t="str">
        <f>VLOOKUP(IF('ブロック表'!$D$16=9,ゲームNo!$C227,IF('ブロック表'!$D$16=10,ゲームNo!$I227,IF('ブロック表'!$D$16=11,ゲームNo!$O227,ゲームNo!$U227))),'ブロック表'!$A$4:$C$15,3,FALSE)</f>
        <v>兵庫</v>
      </c>
      <c r="G240" s="17" t="str">
        <f>VLOOKUP(IF('ブロック表'!$D$16=9,ゲームNo!$C227,IF('ブロック表'!$D$16=10,ゲームNo!$I227,IF('ブロック表'!$D$16=11,ゲームNo!$O227,ゲームNo!$U227))),'ブロック表'!$A$4:$N$15,13,FALSE)</f>
        <v>平井 洸志</v>
      </c>
      <c r="H240" s="85"/>
      <c r="I240" s="86">
        <v>14</v>
      </c>
      <c r="J240" s="87" t="s">
        <v>394</v>
      </c>
      <c r="K240" s="85">
        <v>118</v>
      </c>
      <c r="L240" s="22" t="str">
        <f>VLOOKUP(IF('ブロック表'!$D$16=9,ゲームNo!$D227,IF('ブロック表'!$D$16=10,ゲームNo!$J227,IF('ブロック表'!$D$16=11,ゲームNo!$P227,ゲームNo!$V227))),'ブロック表'!$A$4:$N$15,13,FALSE)</f>
        <v>島田 隆嗣</v>
      </c>
      <c r="M240" s="75" t="str">
        <f>VLOOKUP(IF('ブロック表'!$D$16=9,ゲームNo!$D227,IF('ブロック表'!$D$16=10,ゲームNo!$J227,IF('ブロック表'!$D$16=11,ゲームNo!$P227,ゲームNo!$V227))),'ブロック表'!$A$4:$C$15,3,FALSE)</f>
        <v>愛知</v>
      </c>
    </row>
    <row r="241" spans="1:13" ht="13.5" customHeight="1">
      <c r="A241" s="97">
        <v>226</v>
      </c>
      <c r="B241" s="92">
        <v>46</v>
      </c>
      <c r="C241" s="131">
        <v>1</v>
      </c>
      <c r="D241" s="106" t="e">
        <f t="shared" si="6"/>
        <v>#N/A</v>
      </c>
      <c r="E241" s="106" t="e">
        <f t="shared" si="7"/>
        <v>#N/A</v>
      </c>
      <c r="F241" s="76" t="e">
        <f>VLOOKUP(IF('ブロック表'!$D$16=9,ゲームNo!$C228,IF('ブロック表'!$D$16=10,ゲームNo!$I228,IF('ブロック表'!$D$16=11,ゲームNo!$O228,ゲームNo!$U228))),'ブロック表'!$A$4:$C$15,3,FALSE)</f>
        <v>#N/A</v>
      </c>
      <c r="G241" s="19" t="e">
        <f>VLOOKUP(IF('ブロック表'!$D$16=9,ゲームNo!$C228,IF('ブロック表'!$D$16=10,ゲームNo!$I228,IF('ブロック表'!$D$16=11,ゲームNo!$O228,ゲームNo!$U228))),'ブロック表'!$A$4:$N$15,5,FALSE)</f>
        <v>#N/A</v>
      </c>
      <c r="H241" s="88"/>
      <c r="I241" s="89"/>
      <c r="J241" s="90"/>
      <c r="K241" s="88"/>
      <c r="L241" s="20" t="e">
        <f>VLOOKUP(IF('ブロック表'!$D$16=9,ゲームNo!$D228,IF('ブロック表'!$D$16=10,ゲームNo!$J228,IF('ブロック表'!$D$16=11,ゲームNo!$P228,ゲームNo!$V228))),'ブロック表'!$A$4:$N$15,5,FALSE)</f>
        <v>#N/A</v>
      </c>
      <c r="M241" s="93" t="e">
        <f>VLOOKUP(IF('ブロック表'!$D$16=9,ゲームNo!$D228,IF('ブロック表'!$D$16=10,ゲームNo!$J228,IF('ブロック表'!$D$16=11,ゲームNo!$P228,ゲームNo!$V228))),'ブロック表'!$A$4:$C$15,3,FALSE)</f>
        <v>#N/A</v>
      </c>
    </row>
    <row r="242" spans="1:13" ht="13.5" customHeight="1">
      <c r="A242" s="98">
        <v>227</v>
      </c>
      <c r="B242" s="70">
        <v>46</v>
      </c>
      <c r="C242" s="132">
        <v>2</v>
      </c>
      <c r="D242" s="104" t="e">
        <f t="shared" si="6"/>
        <v>#N/A</v>
      </c>
      <c r="E242" s="104" t="e">
        <f t="shared" si="7"/>
        <v>#N/A</v>
      </c>
      <c r="F242" s="71" t="e">
        <f>VLOOKUP(IF('ブロック表'!$D$16=9,ゲームNo!$C229,IF('ブロック表'!$D$16=10,ゲームNo!$I229,IF('ブロック表'!$D$16=11,ゲームNo!$O229,ゲームNo!$U229))),'ブロック表'!$A$4:$C$15,3,FALSE)</f>
        <v>#N/A</v>
      </c>
      <c r="G242" s="15" t="e">
        <f>VLOOKUP(IF('ブロック表'!$D$16=9,ゲームNo!$C229,IF('ブロック表'!$D$16=10,ゲームNo!$I229,IF('ブロック表'!$D$16=11,ゲームNo!$O229,ゲームNo!$U229))),'ブロック表'!$A$4:$N$15,7,FALSE)</f>
        <v>#N/A</v>
      </c>
      <c r="H242" s="82"/>
      <c r="I242" s="83"/>
      <c r="J242" s="84"/>
      <c r="K242" s="82"/>
      <c r="L242" s="21" t="e">
        <f>VLOOKUP(IF('ブロック表'!$D$16=9,ゲームNo!$D229,IF('ブロック表'!$D$16=10,ゲームNo!$J229,IF('ブロック表'!$D$16=11,ゲームNo!$P229,ゲームNo!$V229))),'ブロック表'!$A$4:$N$15,7,FALSE)</f>
        <v>#N/A</v>
      </c>
      <c r="M242" s="72" t="e">
        <f>VLOOKUP(IF('ブロック表'!$D$16=9,ゲームNo!$D229,IF('ブロック表'!$D$16=10,ゲームNo!$J229,IF('ブロック表'!$D$16=11,ゲームNo!$P229,ゲームNo!$V229))),'ブロック表'!$A$4:$C$15,3,FALSE)</f>
        <v>#N/A</v>
      </c>
    </row>
    <row r="243" spans="1:13" ht="13.5" customHeight="1">
      <c r="A243" s="98">
        <v>228</v>
      </c>
      <c r="B243" s="70">
        <v>46</v>
      </c>
      <c r="C243" s="132">
        <v>3</v>
      </c>
      <c r="D243" s="104" t="e">
        <f t="shared" si="6"/>
        <v>#N/A</v>
      </c>
      <c r="E243" s="104" t="e">
        <f t="shared" si="7"/>
        <v>#N/A</v>
      </c>
      <c r="F243" s="71" t="e">
        <f>VLOOKUP(IF('ブロック表'!$D$16=9,ゲームNo!$C230,IF('ブロック表'!$D$16=10,ゲームNo!$I230,IF('ブロック表'!$D$16=11,ゲームNo!$O230,ゲームNo!$U230))),'ブロック表'!$A$4:$C$15,3,FALSE)</f>
        <v>#N/A</v>
      </c>
      <c r="G243" s="15" t="e">
        <f>VLOOKUP(IF('ブロック表'!$D$16=9,ゲームNo!$C230,IF('ブロック表'!$D$16=10,ゲームNo!$I230,IF('ブロック表'!$D$16=11,ゲームNo!$O230,ゲームNo!$U230))),'ブロック表'!$A$4:$N$15,9,FALSE)</f>
        <v>#N/A</v>
      </c>
      <c r="H243" s="82"/>
      <c r="I243" s="83"/>
      <c r="J243" s="84"/>
      <c r="K243" s="82"/>
      <c r="L243" s="21" t="e">
        <f>VLOOKUP(IF('ブロック表'!$D$16=9,ゲームNo!$D230,IF('ブロック表'!$D$16=10,ゲームNo!$J230,IF('ブロック表'!$D$16=11,ゲームNo!$P230,ゲームNo!$V230))),'ブロック表'!$A$4:$N$15,9,FALSE)</f>
        <v>#N/A</v>
      </c>
      <c r="M243" s="72" t="e">
        <f>VLOOKUP(IF('ブロック表'!$D$16=9,ゲームNo!$D230,IF('ブロック表'!$D$16=10,ゲームNo!$J230,IF('ブロック表'!$D$16=11,ゲームNo!$P230,ゲームNo!$V230))),'ブロック表'!$A$4:$C$15,3,FALSE)</f>
        <v>#N/A</v>
      </c>
    </row>
    <row r="244" spans="1:13" ht="13.5" customHeight="1">
      <c r="A244" s="98">
        <v>229</v>
      </c>
      <c r="B244" s="70">
        <v>46</v>
      </c>
      <c r="C244" s="132">
        <v>4</v>
      </c>
      <c r="D244" s="104" t="e">
        <f t="shared" si="6"/>
        <v>#N/A</v>
      </c>
      <c r="E244" s="104" t="e">
        <f t="shared" si="7"/>
        <v>#N/A</v>
      </c>
      <c r="F244" s="71" t="e">
        <f>VLOOKUP(IF('ブロック表'!$D$16=9,ゲームNo!$C231,IF('ブロック表'!$D$16=10,ゲームNo!$I231,IF('ブロック表'!$D$16=11,ゲームNo!$O231,ゲームNo!$U231))),'ブロック表'!$A$4:$C$15,3,FALSE)</f>
        <v>#N/A</v>
      </c>
      <c r="G244" s="15" t="e">
        <f>VLOOKUP(IF('ブロック表'!$D$16=9,ゲームNo!$C231,IF('ブロック表'!$D$16=10,ゲームNo!$I231,IF('ブロック表'!$D$16=11,ゲームNo!$O231,ゲームNo!$U231))),'ブロック表'!$A$4:$N$15,11,FALSE)</f>
        <v>#N/A</v>
      </c>
      <c r="H244" s="82"/>
      <c r="I244" s="83"/>
      <c r="J244" s="84"/>
      <c r="K244" s="82"/>
      <c r="L244" s="21" t="e">
        <f>VLOOKUP(IF('ブロック表'!$D$16=9,ゲームNo!$D231,IF('ブロック表'!$D$16=10,ゲームNo!$J231,IF('ブロック表'!$D$16=11,ゲームNo!$P231,ゲームNo!$V231))),'ブロック表'!$A$4:$N$15,11,FALSE)</f>
        <v>#N/A</v>
      </c>
      <c r="M244" s="72" t="e">
        <f>VLOOKUP(IF('ブロック表'!$D$16=9,ゲームNo!$D231,IF('ブロック表'!$D$16=10,ゲームNo!$J231,IF('ブロック表'!$D$16=11,ゲームNo!$P231,ゲームNo!$V231))),'ブロック表'!$A$4:$C$15,3,FALSE)</f>
        <v>#N/A</v>
      </c>
    </row>
    <row r="245" spans="1:13" ht="14.25" customHeight="1">
      <c r="A245" s="99">
        <v>230</v>
      </c>
      <c r="B245" s="73">
        <v>46</v>
      </c>
      <c r="C245" s="133">
        <v>5</v>
      </c>
      <c r="D245" s="105" t="e">
        <f t="shared" si="6"/>
        <v>#N/A</v>
      </c>
      <c r="E245" s="105" t="e">
        <f t="shared" si="7"/>
        <v>#N/A</v>
      </c>
      <c r="F245" s="74" t="e">
        <f>VLOOKUP(IF('ブロック表'!$D$16=9,ゲームNo!$C232,IF('ブロック表'!$D$16=10,ゲームNo!$I232,IF('ブロック表'!$D$16=11,ゲームNo!$O232,ゲームNo!$U232))),'ブロック表'!$A$4:$C$15,3,FALSE)</f>
        <v>#N/A</v>
      </c>
      <c r="G245" s="17" t="e">
        <f>VLOOKUP(IF('ブロック表'!$D$16=9,ゲームNo!$C232,IF('ブロック表'!$D$16=10,ゲームNo!$I232,IF('ブロック表'!$D$16=11,ゲームNo!$O232,ゲームNo!$U232))),'ブロック表'!$A$4:$N$15,13,FALSE)</f>
        <v>#N/A</v>
      </c>
      <c r="H245" s="85"/>
      <c r="I245" s="86"/>
      <c r="J245" s="87"/>
      <c r="K245" s="85"/>
      <c r="L245" s="22" t="e">
        <f>VLOOKUP(IF('ブロック表'!$D$16=9,ゲームNo!$D232,IF('ブロック表'!$D$16=10,ゲームNo!$J232,IF('ブロック表'!$D$16=11,ゲームNo!$P232,ゲームNo!$V232))),'ブロック表'!$A$4:$N$15,13,FALSE)</f>
        <v>#N/A</v>
      </c>
      <c r="M245" s="75" t="e">
        <f>VLOOKUP(IF('ブロック表'!$D$16=9,ゲームNo!$D232,IF('ブロック表'!$D$16=10,ゲームNo!$J232,IF('ブロック表'!$D$16=11,ゲームNo!$P232,ゲームNo!$V232))),'ブロック表'!$A$4:$C$15,3,FALSE)</f>
        <v>#N/A</v>
      </c>
    </row>
    <row r="246" spans="1:13" ht="13.5" customHeight="1">
      <c r="A246" s="97">
        <v>231</v>
      </c>
      <c r="B246" s="92">
        <v>47</v>
      </c>
      <c r="C246" s="131">
        <v>1</v>
      </c>
      <c r="D246" s="106" t="e">
        <f t="shared" si="6"/>
        <v>#N/A</v>
      </c>
      <c r="E246" s="106" t="e">
        <f t="shared" si="7"/>
        <v>#N/A</v>
      </c>
      <c r="F246" s="76" t="e">
        <f>VLOOKUP(IF('ブロック表'!$D$16=9,ゲームNo!$C233,IF('ブロック表'!$D$16=10,ゲームNo!$I233,IF('ブロック表'!$D$16=11,ゲームNo!$O233,ゲームNo!$U233))),'ブロック表'!$A$4:$C$15,3,FALSE)</f>
        <v>#N/A</v>
      </c>
      <c r="G246" s="19" t="e">
        <f>VLOOKUP(IF('ブロック表'!$D$16=9,ゲームNo!$C233,IF('ブロック表'!$D$16=10,ゲームNo!$I233,IF('ブロック表'!$D$16=11,ゲームNo!$O233,ゲームNo!$U233))),'ブロック表'!$A$4:$N$15,5,FALSE)</f>
        <v>#N/A</v>
      </c>
      <c r="H246" s="88"/>
      <c r="I246" s="89"/>
      <c r="J246" s="90"/>
      <c r="K246" s="88"/>
      <c r="L246" s="20" t="e">
        <f>VLOOKUP(IF('ブロック表'!$D$16=9,ゲームNo!$D233,IF('ブロック表'!$D$16=10,ゲームNo!$J233,IF('ブロック表'!$D$16=11,ゲームNo!$P233,ゲームNo!$V233))),'ブロック表'!$A$4:$N$15,5,FALSE)</f>
        <v>#N/A</v>
      </c>
      <c r="M246" s="93" t="e">
        <f>VLOOKUP(IF('ブロック表'!$D$16=9,ゲームNo!$D233,IF('ブロック表'!$D$16=10,ゲームNo!$J233,IF('ブロック表'!$D$16=11,ゲームNo!$P233,ゲームNo!$V233))),'ブロック表'!$A$4:$C$15,3,FALSE)</f>
        <v>#N/A</v>
      </c>
    </row>
    <row r="247" spans="1:13" ht="13.5" customHeight="1">
      <c r="A247" s="98">
        <v>232</v>
      </c>
      <c r="B247" s="70">
        <v>47</v>
      </c>
      <c r="C247" s="132">
        <v>2</v>
      </c>
      <c r="D247" s="104" t="e">
        <f t="shared" si="6"/>
        <v>#N/A</v>
      </c>
      <c r="E247" s="104" t="e">
        <f t="shared" si="7"/>
        <v>#N/A</v>
      </c>
      <c r="F247" s="71" t="e">
        <f>VLOOKUP(IF('ブロック表'!$D$16=9,ゲームNo!$C234,IF('ブロック表'!$D$16=10,ゲームNo!$I234,IF('ブロック表'!$D$16=11,ゲームNo!$O234,ゲームNo!$U234))),'ブロック表'!$A$4:$C$15,3,FALSE)</f>
        <v>#N/A</v>
      </c>
      <c r="G247" s="15" t="e">
        <f>VLOOKUP(IF('ブロック表'!$D$16=9,ゲームNo!$C234,IF('ブロック表'!$D$16=10,ゲームNo!$I234,IF('ブロック表'!$D$16=11,ゲームNo!$O234,ゲームNo!$U234))),'ブロック表'!$A$4:$N$15,7,FALSE)</f>
        <v>#N/A</v>
      </c>
      <c r="H247" s="82"/>
      <c r="I247" s="83"/>
      <c r="J247" s="84"/>
      <c r="K247" s="82"/>
      <c r="L247" s="21" t="e">
        <f>VLOOKUP(IF('ブロック表'!$D$16=9,ゲームNo!$D234,IF('ブロック表'!$D$16=10,ゲームNo!$J234,IF('ブロック表'!$D$16=11,ゲームNo!$P234,ゲームNo!$V234))),'ブロック表'!$A$4:$N$15,7,FALSE)</f>
        <v>#N/A</v>
      </c>
      <c r="M247" s="72" t="e">
        <f>VLOOKUP(IF('ブロック表'!$D$16=9,ゲームNo!$D234,IF('ブロック表'!$D$16=10,ゲームNo!$J234,IF('ブロック表'!$D$16=11,ゲームNo!$P234,ゲームNo!$V234))),'ブロック表'!$A$4:$C$15,3,FALSE)</f>
        <v>#N/A</v>
      </c>
    </row>
    <row r="248" spans="1:13" ht="13.5" customHeight="1">
      <c r="A248" s="98">
        <v>233</v>
      </c>
      <c r="B248" s="70">
        <v>47</v>
      </c>
      <c r="C248" s="132">
        <v>3</v>
      </c>
      <c r="D248" s="104" t="e">
        <f t="shared" si="6"/>
        <v>#N/A</v>
      </c>
      <c r="E248" s="104" t="e">
        <f t="shared" si="7"/>
        <v>#N/A</v>
      </c>
      <c r="F248" s="71" t="e">
        <f>VLOOKUP(IF('ブロック表'!$D$16=9,ゲームNo!$C235,IF('ブロック表'!$D$16=10,ゲームNo!$I235,IF('ブロック表'!$D$16=11,ゲームNo!$O235,ゲームNo!$U235))),'ブロック表'!$A$4:$C$15,3,FALSE)</f>
        <v>#N/A</v>
      </c>
      <c r="G248" s="15" t="e">
        <f>VLOOKUP(IF('ブロック表'!$D$16=9,ゲームNo!$C235,IF('ブロック表'!$D$16=10,ゲームNo!$I235,IF('ブロック表'!$D$16=11,ゲームNo!$O235,ゲームNo!$U235))),'ブロック表'!$A$4:$N$15,9,FALSE)</f>
        <v>#N/A</v>
      </c>
      <c r="H248" s="82"/>
      <c r="I248" s="83"/>
      <c r="J248" s="84"/>
      <c r="K248" s="82"/>
      <c r="L248" s="21" t="e">
        <f>VLOOKUP(IF('ブロック表'!$D$16=9,ゲームNo!$D235,IF('ブロック表'!$D$16=10,ゲームNo!$J235,IF('ブロック表'!$D$16=11,ゲームNo!$P235,ゲームNo!$V235))),'ブロック表'!$A$4:$N$15,9,FALSE)</f>
        <v>#N/A</v>
      </c>
      <c r="M248" s="72" t="e">
        <f>VLOOKUP(IF('ブロック表'!$D$16=9,ゲームNo!$D235,IF('ブロック表'!$D$16=10,ゲームNo!$J235,IF('ブロック表'!$D$16=11,ゲームNo!$P235,ゲームNo!$V235))),'ブロック表'!$A$4:$C$15,3,FALSE)</f>
        <v>#N/A</v>
      </c>
    </row>
    <row r="249" spans="1:13" ht="13.5" customHeight="1">
      <c r="A249" s="98">
        <v>234</v>
      </c>
      <c r="B249" s="70">
        <v>47</v>
      </c>
      <c r="C249" s="132">
        <v>4</v>
      </c>
      <c r="D249" s="104" t="e">
        <f t="shared" si="6"/>
        <v>#N/A</v>
      </c>
      <c r="E249" s="104" t="e">
        <f t="shared" si="7"/>
        <v>#N/A</v>
      </c>
      <c r="F249" s="71" t="e">
        <f>VLOOKUP(IF('ブロック表'!$D$16=9,ゲームNo!$C236,IF('ブロック表'!$D$16=10,ゲームNo!$I236,IF('ブロック表'!$D$16=11,ゲームNo!$O236,ゲームNo!$U236))),'ブロック表'!$A$4:$C$15,3,FALSE)</f>
        <v>#N/A</v>
      </c>
      <c r="G249" s="15" t="e">
        <f>VLOOKUP(IF('ブロック表'!$D$16=9,ゲームNo!$C236,IF('ブロック表'!$D$16=10,ゲームNo!$I236,IF('ブロック表'!$D$16=11,ゲームNo!$O236,ゲームNo!$U236))),'ブロック表'!$A$4:$N$15,11,FALSE)</f>
        <v>#N/A</v>
      </c>
      <c r="H249" s="82"/>
      <c r="I249" s="83"/>
      <c r="J249" s="84"/>
      <c r="K249" s="82"/>
      <c r="L249" s="21" t="e">
        <f>VLOOKUP(IF('ブロック表'!$D$16=9,ゲームNo!$D236,IF('ブロック表'!$D$16=10,ゲームNo!$J236,IF('ブロック表'!$D$16=11,ゲームNo!$P236,ゲームNo!$V236))),'ブロック表'!$A$4:$N$15,11,FALSE)</f>
        <v>#N/A</v>
      </c>
      <c r="M249" s="72" t="e">
        <f>VLOOKUP(IF('ブロック表'!$D$16=9,ゲームNo!$D236,IF('ブロック表'!$D$16=10,ゲームNo!$J236,IF('ブロック表'!$D$16=11,ゲームNo!$P236,ゲームNo!$V236))),'ブロック表'!$A$4:$C$15,3,FALSE)</f>
        <v>#N/A</v>
      </c>
    </row>
    <row r="250" spans="1:13" ht="14.25" customHeight="1">
      <c r="A250" s="99">
        <v>235</v>
      </c>
      <c r="B250" s="73">
        <v>47</v>
      </c>
      <c r="C250" s="133">
        <v>5</v>
      </c>
      <c r="D250" s="105" t="e">
        <f t="shared" si="6"/>
        <v>#N/A</v>
      </c>
      <c r="E250" s="105" t="e">
        <f t="shared" si="7"/>
        <v>#N/A</v>
      </c>
      <c r="F250" s="74" t="e">
        <f>VLOOKUP(IF('ブロック表'!$D$16=9,ゲームNo!$C237,IF('ブロック表'!$D$16=10,ゲームNo!$I237,IF('ブロック表'!$D$16=11,ゲームNo!$O237,ゲームNo!$U237))),'ブロック表'!$A$4:$C$15,3,FALSE)</f>
        <v>#N/A</v>
      </c>
      <c r="G250" s="17" t="e">
        <f>VLOOKUP(IF('ブロック表'!$D$16=9,ゲームNo!$C237,IF('ブロック表'!$D$16=10,ゲームNo!$I237,IF('ブロック表'!$D$16=11,ゲームNo!$O237,ゲームNo!$U237))),'ブロック表'!$A$4:$N$15,13,FALSE)</f>
        <v>#N/A</v>
      </c>
      <c r="H250" s="85"/>
      <c r="I250" s="86"/>
      <c r="J250" s="87"/>
      <c r="K250" s="85"/>
      <c r="L250" s="22" t="e">
        <f>VLOOKUP(IF('ブロック表'!$D$16=9,ゲームNo!$D237,IF('ブロック表'!$D$16=10,ゲームNo!$J237,IF('ブロック表'!$D$16=11,ゲームNo!$P237,ゲームNo!$V237))),'ブロック表'!$A$4:$N$15,13,FALSE)</f>
        <v>#N/A</v>
      </c>
      <c r="M250" s="75" t="e">
        <f>VLOOKUP(IF('ブロック表'!$D$16=9,ゲームNo!$D237,IF('ブロック表'!$D$16=10,ゲームNo!$J237,IF('ブロック表'!$D$16=11,ゲームNo!$P237,ゲームNo!$V237))),'ブロック表'!$A$4:$C$15,3,FALSE)</f>
        <v>#N/A</v>
      </c>
    </row>
    <row r="251" spans="1:13" ht="13.5" customHeight="1">
      <c r="A251" s="97">
        <v>236</v>
      </c>
      <c r="B251" s="92">
        <v>48</v>
      </c>
      <c r="C251" s="131">
        <v>1</v>
      </c>
      <c r="D251" s="106" t="e">
        <f t="shared" si="6"/>
        <v>#N/A</v>
      </c>
      <c r="E251" s="106" t="e">
        <f t="shared" si="7"/>
        <v>#N/A</v>
      </c>
      <c r="F251" s="76" t="e">
        <f>VLOOKUP(IF('ブロック表'!$D$16=9,ゲームNo!$C238,IF('ブロック表'!$D$16=10,ゲームNo!$I238,IF('ブロック表'!$D$16=11,ゲームNo!$O238,ゲームNo!$U238))),'ブロック表'!$A$4:$C$15,3,FALSE)</f>
        <v>#N/A</v>
      </c>
      <c r="G251" s="19" t="e">
        <f>VLOOKUP(IF('ブロック表'!$D$16=9,ゲームNo!$C238,IF('ブロック表'!$D$16=10,ゲームNo!$I238,IF('ブロック表'!$D$16=11,ゲームNo!$O238,ゲームNo!$U238))),'ブロック表'!$A$4:$N$15,5,FALSE)</f>
        <v>#N/A</v>
      </c>
      <c r="H251" s="88"/>
      <c r="I251" s="89"/>
      <c r="J251" s="90"/>
      <c r="K251" s="88"/>
      <c r="L251" s="20" t="e">
        <f>VLOOKUP(IF('ブロック表'!$D$16=9,ゲームNo!$D238,IF('ブロック表'!$D$16=10,ゲームNo!$J238,IF('ブロック表'!$D$16=11,ゲームNo!$P238,ゲームNo!$V238))),'ブロック表'!$A$4:$N$15,5,FALSE)</f>
        <v>#N/A</v>
      </c>
      <c r="M251" s="93" t="e">
        <f>VLOOKUP(IF('ブロック表'!$D$16=9,ゲームNo!$D238,IF('ブロック表'!$D$16=10,ゲームNo!$J238,IF('ブロック表'!$D$16=11,ゲームNo!$P238,ゲームNo!$V238))),'ブロック表'!$A$4:$C$15,3,FALSE)</f>
        <v>#N/A</v>
      </c>
    </row>
    <row r="252" spans="1:13" ht="13.5" customHeight="1">
      <c r="A252" s="98">
        <v>237</v>
      </c>
      <c r="B252" s="70">
        <v>48</v>
      </c>
      <c r="C252" s="132">
        <v>2</v>
      </c>
      <c r="D252" s="104" t="e">
        <f t="shared" si="6"/>
        <v>#N/A</v>
      </c>
      <c r="E252" s="104" t="e">
        <f t="shared" si="7"/>
        <v>#N/A</v>
      </c>
      <c r="F252" s="71" t="e">
        <f>VLOOKUP(IF('ブロック表'!$D$16=9,ゲームNo!$C239,IF('ブロック表'!$D$16=10,ゲームNo!$I239,IF('ブロック表'!$D$16=11,ゲームNo!$O239,ゲームNo!$U239))),'ブロック表'!$A$4:$C$15,3,FALSE)</f>
        <v>#N/A</v>
      </c>
      <c r="G252" s="15" t="e">
        <f>VLOOKUP(IF('ブロック表'!$D$16=9,ゲームNo!$C239,IF('ブロック表'!$D$16=10,ゲームNo!$I239,IF('ブロック表'!$D$16=11,ゲームNo!$O239,ゲームNo!$U239))),'ブロック表'!$A$4:$N$15,7,FALSE)</f>
        <v>#N/A</v>
      </c>
      <c r="H252" s="82"/>
      <c r="I252" s="83"/>
      <c r="J252" s="84"/>
      <c r="K252" s="82"/>
      <c r="L252" s="21" t="e">
        <f>VLOOKUP(IF('ブロック表'!$D$16=9,ゲームNo!$D239,IF('ブロック表'!$D$16=10,ゲームNo!$J239,IF('ブロック表'!$D$16=11,ゲームNo!$P239,ゲームNo!$V239))),'ブロック表'!$A$4:$N$15,7,FALSE)</f>
        <v>#N/A</v>
      </c>
      <c r="M252" s="72" t="e">
        <f>VLOOKUP(IF('ブロック表'!$D$16=9,ゲームNo!$D239,IF('ブロック表'!$D$16=10,ゲームNo!$J239,IF('ブロック表'!$D$16=11,ゲームNo!$P239,ゲームNo!$V239))),'ブロック表'!$A$4:$C$15,3,FALSE)</f>
        <v>#N/A</v>
      </c>
    </row>
    <row r="253" spans="1:13" ht="13.5" customHeight="1">
      <c r="A253" s="98">
        <v>238</v>
      </c>
      <c r="B253" s="70">
        <v>48</v>
      </c>
      <c r="C253" s="132">
        <v>3</v>
      </c>
      <c r="D253" s="104" t="e">
        <f t="shared" si="6"/>
        <v>#N/A</v>
      </c>
      <c r="E253" s="104" t="e">
        <f t="shared" si="7"/>
        <v>#N/A</v>
      </c>
      <c r="F253" s="71" t="e">
        <f>VLOOKUP(IF('ブロック表'!$D$16=9,ゲームNo!$C240,IF('ブロック表'!$D$16=10,ゲームNo!$I240,IF('ブロック表'!$D$16=11,ゲームNo!$O240,ゲームNo!$U240))),'ブロック表'!$A$4:$C$15,3,FALSE)</f>
        <v>#N/A</v>
      </c>
      <c r="G253" s="15" t="e">
        <f>VLOOKUP(IF('ブロック表'!$D$16=9,ゲームNo!$C240,IF('ブロック表'!$D$16=10,ゲームNo!$I240,IF('ブロック表'!$D$16=11,ゲームNo!$O240,ゲームNo!$U240))),'ブロック表'!$A$4:$N$15,9,FALSE)</f>
        <v>#N/A</v>
      </c>
      <c r="H253" s="82"/>
      <c r="I253" s="83"/>
      <c r="J253" s="84"/>
      <c r="K253" s="82"/>
      <c r="L253" s="21" t="e">
        <f>VLOOKUP(IF('ブロック表'!$D$16=9,ゲームNo!$D240,IF('ブロック表'!$D$16=10,ゲームNo!$J240,IF('ブロック表'!$D$16=11,ゲームNo!$P240,ゲームNo!$V240))),'ブロック表'!$A$4:$N$15,9,FALSE)</f>
        <v>#N/A</v>
      </c>
      <c r="M253" s="72" t="e">
        <f>VLOOKUP(IF('ブロック表'!$D$16=9,ゲームNo!$D240,IF('ブロック表'!$D$16=10,ゲームNo!$J240,IF('ブロック表'!$D$16=11,ゲームNo!$P240,ゲームNo!$V240))),'ブロック表'!$A$4:$C$15,3,FALSE)</f>
        <v>#N/A</v>
      </c>
    </row>
    <row r="254" spans="1:13" ht="13.5" customHeight="1">
      <c r="A254" s="98">
        <v>239</v>
      </c>
      <c r="B254" s="70">
        <v>48</v>
      </c>
      <c r="C254" s="132">
        <v>4</v>
      </c>
      <c r="D254" s="104" t="e">
        <f t="shared" si="6"/>
        <v>#N/A</v>
      </c>
      <c r="E254" s="104" t="e">
        <f t="shared" si="7"/>
        <v>#N/A</v>
      </c>
      <c r="F254" s="71" t="e">
        <f>VLOOKUP(IF('ブロック表'!$D$16=9,ゲームNo!$C241,IF('ブロック表'!$D$16=10,ゲームNo!$I241,IF('ブロック表'!$D$16=11,ゲームNo!$O241,ゲームNo!$U241))),'ブロック表'!$A$4:$C$15,3,FALSE)</f>
        <v>#N/A</v>
      </c>
      <c r="G254" s="15" t="e">
        <f>VLOOKUP(IF('ブロック表'!$D$16=9,ゲームNo!$C241,IF('ブロック表'!$D$16=10,ゲームNo!$I241,IF('ブロック表'!$D$16=11,ゲームNo!$O241,ゲームNo!$U241))),'ブロック表'!$A$4:$N$15,11,FALSE)</f>
        <v>#N/A</v>
      </c>
      <c r="H254" s="82"/>
      <c r="I254" s="83"/>
      <c r="J254" s="84"/>
      <c r="K254" s="82"/>
      <c r="L254" s="21" t="e">
        <f>VLOOKUP(IF('ブロック表'!$D$16=9,ゲームNo!$D241,IF('ブロック表'!$D$16=10,ゲームNo!$J241,IF('ブロック表'!$D$16=11,ゲームNo!$P241,ゲームNo!$V241))),'ブロック表'!$A$4:$N$15,11,FALSE)</f>
        <v>#N/A</v>
      </c>
      <c r="M254" s="72" t="e">
        <f>VLOOKUP(IF('ブロック表'!$D$16=9,ゲームNo!$D241,IF('ブロック表'!$D$16=10,ゲームNo!$J241,IF('ブロック表'!$D$16=11,ゲームNo!$P241,ゲームNo!$V241))),'ブロック表'!$A$4:$C$15,3,FALSE)</f>
        <v>#N/A</v>
      </c>
    </row>
    <row r="255" spans="1:13" ht="14.25" customHeight="1">
      <c r="A255" s="99">
        <v>240</v>
      </c>
      <c r="B255" s="73">
        <v>48</v>
      </c>
      <c r="C255" s="133">
        <v>5</v>
      </c>
      <c r="D255" s="105" t="e">
        <f t="shared" si="6"/>
        <v>#N/A</v>
      </c>
      <c r="E255" s="105" t="e">
        <f t="shared" si="7"/>
        <v>#N/A</v>
      </c>
      <c r="F255" s="74" t="e">
        <f>VLOOKUP(IF('ブロック表'!$D$16=9,ゲームNo!$C242,IF('ブロック表'!$D$16=10,ゲームNo!$I242,IF('ブロック表'!$D$16=11,ゲームNo!$O242,ゲームNo!$U242))),'ブロック表'!$A$4:$C$15,3,FALSE)</f>
        <v>#N/A</v>
      </c>
      <c r="G255" s="17" t="e">
        <f>VLOOKUP(IF('ブロック表'!$D$16=9,ゲームNo!$C242,IF('ブロック表'!$D$16=10,ゲームNo!$I242,IF('ブロック表'!$D$16=11,ゲームNo!$O242,ゲームNo!$U242))),'ブロック表'!$A$4:$N$15,13,FALSE)</f>
        <v>#N/A</v>
      </c>
      <c r="H255" s="85"/>
      <c r="I255" s="86"/>
      <c r="J255" s="87"/>
      <c r="K255" s="85"/>
      <c r="L255" s="22" t="e">
        <f>VLOOKUP(IF('ブロック表'!$D$16=9,ゲームNo!$D242,IF('ブロック表'!$D$16=10,ゲームNo!$J242,IF('ブロック表'!$D$16=11,ゲームNo!$P242,ゲームNo!$V242))),'ブロック表'!$A$4:$N$15,13,FALSE)</f>
        <v>#N/A</v>
      </c>
      <c r="M255" s="75" t="e">
        <f>VLOOKUP(IF('ブロック表'!$D$16=9,ゲームNo!$D242,IF('ブロック表'!$D$16=10,ゲームNo!$J242,IF('ブロック表'!$D$16=11,ゲームNo!$P242,ゲームNo!$V242))),'ブロック表'!$A$4:$C$15,3,FALSE)</f>
        <v>#N/A</v>
      </c>
    </row>
    <row r="256" spans="1:13" ht="13.5" customHeight="1">
      <c r="A256" s="97">
        <v>241</v>
      </c>
      <c r="B256" s="92">
        <v>49</v>
      </c>
      <c r="C256" s="131">
        <v>1</v>
      </c>
      <c r="D256" s="106" t="e">
        <f t="shared" si="6"/>
        <v>#N/A</v>
      </c>
      <c r="E256" s="106" t="e">
        <f t="shared" si="7"/>
        <v>#N/A</v>
      </c>
      <c r="F256" s="76" t="e">
        <f>VLOOKUP(IF('ブロック表'!$D$16=9,ゲームNo!$C243,IF('ブロック表'!$D$16=10,ゲームNo!$I243,IF('ブロック表'!$D$16=11,ゲームNo!$O243,ゲームNo!$U243))),'ブロック表'!$A$4:$C$15,3,FALSE)</f>
        <v>#N/A</v>
      </c>
      <c r="G256" s="19" t="e">
        <f>VLOOKUP(IF('ブロック表'!$D$16=9,ゲームNo!$C243,IF('ブロック表'!$D$16=10,ゲームNo!$I243,IF('ブロック表'!$D$16=11,ゲームNo!$O243,ゲームNo!$U243))),'ブロック表'!$A$4:$N$15,5,FALSE)</f>
        <v>#N/A</v>
      </c>
      <c r="H256" s="88"/>
      <c r="I256" s="89"/>
      <c r="J256" s="90"/>
      <c r="K256" s="88"/>
      <c r="L256" s="20" t="e">
        <f>VLOOKUP(IF('ブロック表'!$D$16=9,ゲームNo!$D243,IF('ブロック表'!$D$16=10,ゲームNo!$J243,IF('ブロック表'!$D$16=11,ゲームNo!$P243,ゲームNo!$V243))),'ブロック表'!$A$4:$N$15,5,FALSE)</f>
        <v>#N/A</v>
      </c>
      <c r="M256" s="93" t="e">
        <f>VLOOKUP(IF('ブロック表'!$D$16=9,ゲームNo!$D243,IF('ブロック表'!$D$16=10,ゲームNo!$J243,IF('ブロック表'!$D$16=11,ゲームNo!$P243,ゲームNo!$V243))),'ブロック表'!$A$4:$C$15,3,FALSE)</f>
        <v>#N/A</v>
      </c>
    </row>
    <row r="257" spans="1:13" ht="13.5" customHeight="1">
      <c r="A257" s="98">
        <v>242</v>
      </c>
      <c r="B257" s="70">
        <v>49</v>
      </c>
      <c r="C257" s="132">
        <v>2</v>
      </c>
      <c r="D257" s="104" t="e">
        <f t="shared" si="6"/>
        <v>#N/A</v>
      </c>
      <c r="E257" s="104" t="e">
        <f t="shared" si="7"/>
        <v>#N/A</v>
      </c>
      <c r="F257" s="71" t="e">
        <f>VLOOKUP(IF('ブロック表'!$D$16=9,ゲームNo!$C244,IF('ブロック表'!$D$16=10,ゲームNo!$I244,IF('ブロック表'!$D$16=11,ゲームNo!$O244,ゲームNo!$U244))),'ブロック表'!$A$4:$C$15,3,FALSE)</f>
        <v>#N/A</v>
      </c>
      <c r="G257" s="15" t="e">
        <f>VLOOKUP(IF('ブロック表'!$D$16=9,ゲームNo!$C244,IF('ブロック表'!$D$16=10,ゲームNo!$I244,IF('ブロック表'!$D$16=11,ゲームNo!$O244,ゲームNo!$U244))),'ブロック表'!$A$4:$N$15,7,FALSE)</f>
        <v>#N/A</v>
      </c>
      <c r="H257" s="82"/>
      <c r="I257" s="83"/>
      <c r="J257" s="84"/>
      <c r="K257" s="82"/>
      <c r="L257" s="21" t="e">
        <f>VLOOKUP(IF('ブロック表'!$D$16=9,ゲームNo!$D244,IF('ブロック表'!$D$16=10,ゲームNo!$J244,IF('ブロック表'!$D$16=11,ゲームNo!$P244,ゲームNo!$V244))),'ブロック表'!$A$4:$N$15,7,FALSE)</f>
        <v>#N/A</v>
      </c>
      <c r="M257" s="72" t="e">
        <f>VLOOKUP(IF('ブロック表'!$D$16=9,ゲームNo!$D244,IF('ブロック表'!$D$16=10,ゲームNo!$J244,IF('ブロック表'!$D$16=11,ゲームNo!$P244,ゲームNo!$V244))),'ブロック表'!$A$4:$C$15,3,FALSE)</f>
        <v>#N/A</v>
      </c>
    </row>
    <row r="258" spans="1:13" ht="13.5" customHeight="1">
      <c r="A258" s="98">
        <v>243</v>
      </c>
      <c r="B258" s="70">
        <v>49</v>
      </c>
      <c r="C258" s="132">
        <v>3</v>
      </c>
      <c r="D258" s="104" t="e">
        <f t="shared" si="6"/>
        <v>#N/A</v>
      </c>
      <c r="E258" s="104" t="e">
        <f t="shared" si="7"/>
        <v>#N/A</v>
      </c>
      <c r="F258" s="71" t="e">
        <f>VLOOKUP(IF('ブロック表'!$D$16=9,ゲームNo!$C245,IF('ブロック表'!$D$16=10,ゲームNo!$I245,IF('ブロック表'!$D$16=11,ゲームNo!$O245,ゲームNo!$U245))),'ブロック表'!$A$4:$C$15,3,FALSE)</f>
        <v>#N/A</v>
      </c>
      <c r="G258" s="15" t="e">
        <f>VLOOKUP(IF('ブロック表'!$D$16=9,ゲームNo!$C245,IF('ブロック表'!$D$16=10,ゲームNo!$I245,IF('ブロック表'!$D$16=11,ゲームNo!$O245,ゲームNo!$U245))),'ブロック表'!$A$4:$N$15,9,FALSE)</f>
        <v>#N/A</v>
      </c>
      <c r="H258" s="82"/>
      <c r="I258" s="83"/>
      <c r="J258" s="84"/>
      <c r="K258" s="82"/>
      <c r="L258" s="21" t="e">
        <f>VLOOKUP(IF('ブロック表'!$D$16=9,ゲームNo!$D245,IF('ブロック表'!$D$16=10,ゲームNo!$J245,IF('ブロック表'!$D$16=11,ゲームNo!$P245,ゲームNo!$V245))),'ブロック表'!$A$4:$N$15,9,FALSE)</f>
        <v>#N/A</v>
      </c>
      <c r="M258" s="72" t="e">
        <f>VLOOKUP(IF('ブロック表'!$D$16=9,ゲームNo!$D245,IF('ブロック表'!$D$16=10,ゲームNo!$J245,IF('ブロック表'!$D$16=11,ゲームNo!$P245,ゲームNo!$V245))),'ブロック表'!$A$4:$C$15,3,FALSE)</f>
        <v>#N/A</v>
      </c>
    </row>
    <row r="259" spans="1:13" ht="13.5" customHeight="1">
      <c r="A259" s="98">
        <v>244</v>
      </c>
      <c r="B259" s="70">
        <v>49</v>
      </c>
      <c r="C259" s="132">
        <v>4</v>
      </c>
      <c r="D259" s="104" t="e">
        <f t="shared" si="6"/>
        <v>#N/A</v>
      </c>
      <c r="E259" s="104" t="e">
        <f t="shared" si="7"/>
        <v>#N/A</v>
      </c>
      <c r="F259" s="71" t="e">
        <f>VLOOKUP(IF('ブロック表'!$D$16=9,ゲームNo!$C246,IF('ブロック表'!$D$16=10,ゲームNo!$I246,IF('ブロック表'!$D$16=11,ゲームNo!$O246,ゲームNo!$U246))),'ブロック表'!$A$4:$C$15,3,FALSE)</f>
        <v>#N/A</v>
      </c>
      <c r="G259" s="15" t="e">
        <f>VLOOKUP(IF('ブロック表'!$D$16=9,ゲームNo!$C246,IF('ブロック表'!$D$16=10,ゲームNo!$I246,IF('ブロック表'!$D$16=11,ゲームNo!$O246,ゲームNo!$U246))),'ブロック表'!$A$4:$N$15,11,FALSE)</f>
        <v>#N/A</v>
      </c>
      <c r="H259" s="82"/>
      <c r="I259" s="83"/>
      <c r="J259" s="84"/>
      <c r="K259" s="82"/>
      <c r="L259" s="21" t="e">
        <f>VLOOKUP(IF('ブロック表'!$D$16=9,ゲームNo!$D246,IF('ブロック表'!$D$16=10,ゲームNo!$J246,IF('ブロック表'!$D$16=11,ゲームNo!$P246,ゲームNo!$V246))),'ブロック表'!$A$4:$N$15,11,FALSE)</f>
        <v>#N/A</v>
      </c>
      <c r="M259" s="72" t="e">
        <f>VLOOKUP(IF('ブロック表'!$D$16=9,ゲームNo!$D246,IF('ブロック表'!$D$16=10,ゲームNo!$J246,IF('ブロック表'!$D$16=11,ゲームNo!$P246,ゲームNo!$V246))),'ブロック表'!$A$4:$C$15,3,FALSE)</f>
        <v>#N/A</v>
      </c>
    </row>
    <row r="260" spans="1:13" ht="14.25" customHeight="1">
      <c r="A260" s="99">
        <v>245</v>
      </c>
      <c r="B260" s="73">
        <v>49</v>
      </c>
      <c r="C260" s="133">
        <v>5</v>
      </c>
      <c r="D260" s="105" t="e">
        <f t="shared" si="6"/>
        <v>#N/A</v>
      </c>
      <c r="E260" s="105" t="e">
        <f t="shared" si="7"/>
        <v>#N/A</v>
      </c>
      <c r="F260" s="74" t="e">
        <f>VLOOKUP(IF('ブロック表'!$D$16=9,ゲームNo!$C247,IF('ブロック表'!$D$16=10,ゲームNo!$I247,IF('ブロック表'!$D$16=11,ゲームNo!$O247,ゲームNo!$U247))),'ブロック表'!$A$4:$C$15,3,FALSE)</f>
        <v>#N/A</v>
      </c>
      <c r="G260" s="17" t="e">
        <f>VLOOKUP(IF('ブロック表'!$D$16=9,ゲームNo!$C247,IF('ブロック表'!$D$16=10,ゲームNo!$I247,IF('ブロック表'!$D$16=11,ゲームNo!$O247,ゲームNo!$U247))),'ブロック表'!$A$4:$N$15,13,FALSE)</f>
        <v>#N/A</v>
      </c>
      <c r="H260" s="85"/>
      <c r="I260" s="86"/>
      <c r="J260" s="87"/>
      <c r="K260" s="85"/>
      <c r="L260" s="22" t="e">
        <f>VLOOKUP(IF('ブロック表'!$D$16=9,ゲームNo!$D247,IF('ブロック表'!$D$16=10,ゲームNo!$J247,IF('ブロック表'!$D$16=11,ゲームNo!$P247,ゲームNo!$V247))),'ブロック表'!$A$4:$N$15,13,FALSE)</f>
        <v>#N/A</v>
      </c>
      <c r="M260" s="75" t="e">
        <f>VLOOKUP(IF('ブロック表'!$D$16=9,ゲームNo!$D247,IF('ブロック表'!$D$16=10,ゲームNo!$J247,IF('ブロック表'!$D$16=11,ゲームNo!$P247,ゲームNo!$V247))),'ブロック表'!$A$4:$C$15,3,FALSE)</f>
        <v>#N/A</v>
      </c>
    </row>
    <row r="261" spans="1:13" ht="13.5" customHeight="1">
      <c r="A261" s="97">
        <v>246</v>
      </c>
      <c r="B261" s="92">
        <v>50</v>
      </c>
      <c r="C261" s="131">
        <v>1</v>
      </c>
      <c r="D261" s="106" t="e">
        <f t="shared" si="6"/>
        <v>#N/A</v>
      </c>
      <c r="E261" s="106" t="e">
        <f t="shared" si="7"/>
        <v>#N/A</v>
      </c>
      <c r="F261" s="76" t="e">
        <f>VLOOKUP(IF('ブロック表'!$D$16=9,ゲームNo!$C248,IF('ブロック表'!$D$16=10,ゲームNo!$I248,IF('ブロック表'!$D$16=11,ゲームNo!$O248,ゲームNo!$U248))),'ブロック表'!$A$4:$C$15,3,FALSE)</f>
        <v>#N/A</v>
      </c>
      <c r="G261" s="19" t="e">
        <f>VLOOKUP(IF('ブロック表'!$D$16=9,ゲームNo!$C248,IF('ブロック表'!$D$16=10,ゲームNo!$I248,IF('ブロック表'!$D$16=11,ゲームNo!$O248,ゲームNo!$U248))),'ブロック表'!$A$4:$N$15,5,FALSE)</f>
        <v>#N/A</v>
      </c>
      <c r="H261" s="88"/>
      <c r="I261" s="89"/>
      <c r="J261" s="90"/>
      <c r="K261" s="88"/>
      <c r="L261" s="20" t="e">
        <f>VLOOKUP(IF('ブロック表'!$D$16=9,ゲームNo!$D248,IF('ブロック表'!$D$16=10,ゲームNo!$J248,IF('ブロック表'!$D$16=11,ゲームNo!$P248,ゲームNo!$V248))),'ブロック表'!$A$4:$N$15,5,FALSE)</f>
        <v>#N/A</v>
      </c>
      <c r="M261" s="93" t="e">
        <f>VLOOKUP(IF('ブロック表'!$D$16=9,ゲームNo!$D248,IF('ブロック表'!$D$16=10,ゲームNo!$J248,IF('ブロック表'!$D$16=11,ゲームNo!$P248,ゲームNo!$V248))),'ブロック表'!$A$4:$C$15,3,FALSE)</f>
        <v>#N/A</v>
      </c>
    </row>
    <row r="262" spans="1:13" ht="13.5" customHeight="1">
      <c r="A262" s="98">
        <v>247</v>
      </c>
      <c r="B262" s="70">
        <v>50</v>
      </c>
      <c r="C262" s="132">
        <v>2</v>
      </c>
      <c r="D262" s="104" t="e">
        <f t="shared" si="6"/>
        <v>#N/A</v>
      </c>
      <c r="E262" s="104" t="e">
        <f t="shared" si="7"/>
        <v>#N/A</v>
      </c>
      <c r="F262" s="71" t="e">
        <f>VLOOKUP(IF('ブロック表'!$D$16=9,ゲームNo!$C249,IF('ブロック表'!$D$16=10,ゲームNo!$I249,IF('ブロック表'!$D$16=11,ゲームNo!$O249,ゲームNo!$U249))),'ブロック表'!$A$4:$C$15,3,FALSE)</f>
        <v>#N/A</v>
      </c>
      <c r="G262" s="15" t="e">
        <f>VLOOKUP(IF('ブロック表'!$D$16=9,ゲームNo!$C249,IF('ブロック表'!$D$16=10,ゲームNo!$I249,IF('ブロック表'!$D$16=11,ゲームNo!$O249,ゲームNo!$U249))),'ブロック表'!$A$4:$N$15,7,FALSE)</f>
        <v>#N/A</v>
      </c>
      <c r="H262" s="82"/>
      <c r="I262" s="83"/>
      <c r="J262" s="84"/>
      <c r="K262" s="82"/>
      <c r="L262" s="21" t="e">
        <f>VLOOKUP(IF('ブロック表'!$D$16=9,ゲームNo!$D249,IF('ブロック表'!$D$16=10,ゲームNo!$J249,IF('ブロック表'!$D$16=11,ゲームNo!$P249,ゲームNo!$V249))),'ブロック表'!$A$4:$N$15,7,FALSE)</f>
        <v>#N/A</v>
      </c>
      <c r="M262" s="72" t="e">
        <f>VLOOKUP(IF('ブロック表'!$D$16=9,ゲームNo!$D249,IF('ブロック表'!$D$16=10,ゲームNo!$J249,IF('ブロック表'!$D$16=11,ゲームNo!$P249,ゲームNo!$V249))),'ブロック表'!$A$4:$C$15,3,FALSE)</f>
        <v>#N/A</v>
      </c>
    </row>
    <row r="263" spans="1:13" ht="13.5" customHeight="1">
      <c r="A263" s="98">
        <v>248</v>
      </c>
      <c r="B263" s="70">
        <v>50</v>
      </c>
      <c r="C263" s="132">
        <v>3</v>
      </c>
      <c r="D263" s="104" t="e">
        <f t="shared" si="6"/>
        <v>#N/A</v>
      </c>
      <c r="E263" s="104" t="e">
        <f t="shared" si="7"/>
        <v>#N/A</v>
      </c>
      <c r="F263" s="71" t="e">
        <f>VLOOKUP(IF('ブロック表'!$D$16=9,ゲームNo!$C250,IF('ブロック表'!$D$16=10,ゲームNo!$I250,IF('ブロック表'!$D$16=11,ゲームNo!$O250,ゲームNo!$U250))),'ブロック表'!$A$4:$C$15,3,FALSE)</f>
        <v>#N/A</v>
      </c>
      <c r="G263" s="15" t="e">
        <f>VLOOKUP(IF('ブロック表'!$D$16=9,ゲームNo!$C250,IF('ブロック表'!$D$16=10,ゲームNo!$I250,IF('ブロック表'!$D$16=11,ゲームNo!$O250,ゲームNo!$U250))),'ブロック表'!$A$4:$N$15,9,FALSE)</f>
        <v>#N/A</v>
      </c>
      <c r="H263" s="82"/>
      <c r="I263" s="83"/>
      <c r="J263" s="84"/>
      <c r="K263" s="82"/>
      <c r="L263" s="21" t="e">
        <f>VLOOKUP(IF('ブロック表'!$D$16=9,ゲームNo!$D250,IF('ブロック表'!$D$16=10,ゲームNo!$J250,IF('ブロック表'!$D$16=11,ゲームNo!$P250,ゲームNo!$V250))),'ブロック表'!$A$4:$N$15,9,FALSE)</f>
        <v>#N/A</v>
      </c>
      <c r="M263" s="72" t="e">
        <f>VLOOKUP(IF('ブロック表'!$D$16=9,ゲームNo!$D250,IF('ブロック表'!$D$16=10,ゲームNo!$J250,IF('ブロック表'!$D$16=11,ゲームNo!$P250,ゲームNo!$V250))),'ブロック表'!$A$4:$C$15,3,FALSE)</f>
        <v>#N/A</v>
      </c>
    </row>
    <row r="264" spans="1:13" ht="13.5" customHeight="1">
      <c r="A264" s="98">
        <v>249</v>
      </c>
      <c r="B264" s="70">
        <v>50</v>
      </c>
      <c r="C264" s="132">
        <v>4</v>
      </c>
      <c r="D264" s="104" t="e">
        <f t="shared" si="6"/>
        <v>#N/A</v>
      </c>
      <c r="E264" s="104" t="e">
        <f t="shared" si="7"/>
        <v>#N/A</v>
      </c>
      <c r="F264" s="71" t="e">
        <f>VLOOKUP(IF('ブロック表'!$D$16=9,ゲームNo!$C251,IF('ブロック表'!$D$16=10,ゲームNo!$I251,IF('ブロック表'!$D$16=11,ゲームNo!$O251,ゲームNo!$U251))),'ブロック表'!$A$4:$C$15,3,FALSE)</f>
        <v>#N/A</v>
      </c>
      <c r="G264" s="15" t="e">
        <f>VLOOKUP(IF('ブロック表'!$D$16=9,ゲームNo!$C251,IF('ブロック表'!$D$16=10,ゲームNo!$I251,IF('ブロック表'!$D$16=11,ゲームNo!$O251,ゲームNo!$U251))),'ブロック表'!$A$4:$N$15,11,FALSE)</f>
        <v>#N/A</v>
      </c>
      <c r="H264" s="82"/>
      <c r="I264" s="83"/>
      <c r="J264" s="84"/>
      <c r="K264" s="82"/>
      <c r="L264" s="21" t="e">
        <f>VLOOKUP(IF('ブロック表'!$D$16=9,ゲームNo!$D251,IF('ブロック表'!$D$16=10,ゲームNo!$J251,IF('ブロック表'!$D$16=11,ゲームNo!$P251,ゲームNo!$V251))),'ブロック表'!$A$4:$N$15,11,FALSE)</f>
        <v>#N/A</v>
      </c>
      <c r="M264" s="72" t="e">
        <f>VLOOKUP(IF('ブロック表'!$D$16=9,ゲームNo!$D251,IF('ブロック表'!$D$16=10,ゲームNo!$J251,IF('ブロック表'!$D$16=11,ゲームNo!$P251,ゲームNo!$V251))),'ブロック表'!$A$4:$C$15,3,FALSE)</f>
        <v>#N/A</v>
      </c>
    </row>
    <row r="265" spans="1:13" ht="14.25" customHeight="1">
      <c r="A265" s="242">
        <v>250</v>
      </c>
      <c r="B265" s="243">
        <v>50</v>
      </c>
      <c r="C265" s="244">
        <v>5</v>
      </c>
      <c r="D265" s="245" t="e">
        <f t="shared" si="6"/>
        <v>#N/A</v>
      </c>
      <c r="E265" s="245" t="e">
        <f t="shared" si="7"/>
        <v>#N/A</v>
      </c>
      <c r="F265" s="246" t="e">
        <f>VLOOKUP(IF('ブロック表'!$D$16=9,ゲームNo!$C252,IF('ブロック表'!$D$16=10,ゲームNo!$I252,IF('ブロック表'!$D$16=11,ゲームNo!$O252,ゲームNo!$U252))),'ブロック表'!$A$4:$C$15,3,FALSE)</f>
        <v>#N/A</v>
      </c>
      <c r="G265" s="247" t="e">
        <f>VLOOKUP(IF('ブロック表'!$D$16=9,ゲームNo!$C252,IF('ブロック表'!$D$16=10,ゲームNo!$I252,IF('ブロック表'!$D$16=11,ゲームNo!$O252,ゲームNo!$U252))),'ブロック表'!$A$4:$N$15,13,FALSE)</f>
        <v>#N/A</v>
      </c>
      <c r="H265" s="248"/>
      <c r="I265" s="249"/>
      <c r="J265" s="250"/>
      <c r="K265" s="248"/>
      <c r="L265" s="251" t="e">
        <f>VLOOKUP(IF('ブロック表'!$D$16=9,ゲームNo!$D252,IF('ブロック表'!$D$16=10,ゲームNo!$J252,IF('ブロック表'!$D$16=11,ゲームNo!$P252,ゲームNo!$V252))),'ブロック表'!$A$4:$N$15,13,FALSE)</f>
        <v>#N/A</v>
      </c>
      <c r="M265" s="252" t="e">
        <f>VLOOKUP(IF('ブロック表'!$D$16=9,ゲームNo!$D252,IF('ブロック表'!$D$16=10,ゲームNo!$J252,IF('ブロック表'!$D$16=11,ゲームNo!$P252,ゲームNo!$V252))),'ブロック表'!$A$4:$C$15,3,FALSE)</f>
        <v>#N/A</v>
      </c>
    </row>
    <row r="266" spans="1:13" ht="14.25" customHeight="1">
      <c r="A266" s="223">
        <v>251</v>
      </c>
      <c r="B266" s="70">
        <v>51</v>
      </c>
      <c r="C266" s="224">
        <v>1</v>
      </c>
      <c r="D266" s="104" t="e">
        <f t="shared" si="6"/>
        <v>#N/A</v>
      </c>
      <c r="E266" s="104" t="e">
        <f t="shared" si="7"/>
        <v>#N/A</v>
      </c>
      <c r="F266" s="225" t="e">
        <f>VLOOKUP(IF('ブロック表'!$D$16=9,ゲームNo!$C253,IF('ブロック表'!$D$16=10,ゲームNo!$I253,IF('ブロック表'!$D$16=11,ゲームNo!$O253,ゲームNo!$U253))),'ブロック表'!$A$4:$C$15,3,FALSE)</f>
        <v>#N/A</v>
      </c>
      <c r="G266" s="226" t="e">
        <f>VLOOKUP(IF('ブロック表'!$D$16=9,ゲームNo!$C253,IF('ブロック表'!$D$16=10,ゲームNo!$I253,IF('ブロック表'!$D$16=11,ゲームNo!$O253,ゲームNo!$U253))),'ブロック表'!$A$4:$N$15,5,FALSE)</f>
        <v>#N/A</v>
      </c>
      <c r="H266" s="227"/>
      <c r="I266" s="228"/>
      <c r="J266" s="229"/>
      <c r="K266" s="227"/>
      <c r="L266" s="230" t="e">
        <f>VLOOKUP(IF('ブロック表'!$D$16=9,ゲームNo!$D253,IF('ブロック表'!$D$16=10,ゲームNo!$J253,IF('ブロック表'!$D$16=11,ゲームNo!$P253,ゲームNo!$V253))),'ブロック表'!$A$4:$N$15,5,FALSE)</f>
        <v>#N/A</v>
      </c>
      <c r="M266" s="231" t="e">
        <f>VLOOKUP(IF('ブロック表'!$D$16=9,ゲームNo!$D253,IF('ブロック表'!$D$16=10,ゲームNo!$J253,IF('ブロック表'!$D$16=11,ゲームNo!$P253,ゲームNo!$V253))),'ブロック表'!$A$4:$C$15,3,FALSE)</f>
        <v>#N/A</v>
      </c>
    </row>
    <row r="267" spans="1:13" ht="13.5" customHeight="1">
      <c r="A267" s="98">
        <v>252</v>
      </c>
      <c r="B267" s="70">
        <v>51</v>
      </c>
      <c r="C267" s="132">
        <v>2</v>
      </c>
      <c r="D267" s="104" t="e">
        <f t="shared" si="6"/>
        <v>#N/A</v>
      </c>
      <c r="E267" s="104" t="e">
        <f t="shared" si="7"/>
        <v>#N/A</v>
      </c>
      <c r="F267" s="71" t="e">
        <f>VLOOKUP(IF('ブロック表'!$D$16=9,ゲームNo!$C254,IF('ブロック表'!$D$16=10,ゲームNo!$I254,IF('ブロック表'!$D$16=11,ゲームNo!$O254,ゲームNo!$U254))),'ブロック表'!$A$4:$C$15,3,FALSE)</f>
        <v>#N/A</v>
      </c>
      <c r="G267" s="15" t="e">
        <f>VLOOKUP(IF('ブロック表'!$D$16=9,ゲームNo!$C254,IF('ブロック表'!$D$16=10,ゲームNo!$I254,IF('ブロック表'!$D$16=11,ゲームNo!$O254,ゲームNo!$U254))),'ブロック表'!$A$4:$N$15,7,FALSE)</f>
        <v>#N/A</v>
      </c>
      <c r="H267" s="82"/>
      <c r="I267" s="83"/>
      <c r="J267" s="84"/>
      <c r="K267" s="82"/>
      <c r="L267" s="21" t="e">
        <f>VLOOKUP(IF('ブロック表'!$D$16=9,ゲームNo!$D254,IF('ブロック表'!$D$16=10,ゲームNo!$J254,IF('ブロック表'!$D$16=11,ゲームNo!$P254,ゲームNo!$V254))),'ブロック表'!$A$4:$N$15,7,FALSE)</f>
        <v>#N/A</v>
      </c>
      <c r="M267" s="72" t="e">
        <f>VLOOKUP(IF('ブロック表'!$D$16=9,ゲームNo!$D254,IF('ブロック表'!$D$16=10,ゲームNo!$J254,IF('ブロック表'!$D$16=11,ゲームNo!$P254,ゲームNo!$V254))),'ブロック表'!$A$4:$C$15,3,FALSE)</f>
        <v>#N/A</v>
      </c>
    </row>
    <row r="268" spans="1:13" ht="13.5" customHeight="1">
      <c r="A268" s="98">
        <v>253</v>
      </c>
      <c r="B268" s="70">
        <v>51</v>
      </c>
      <c r="C268" s="132">
        <v>3</v>
      </c>
      <c r="D268" s="104" t="e">
        <f t="shared" si="6"/>
        <v>#N/A</v>
      </c>
      <c r="E268" s="104" t="e">
        <f t="shared" si="7"/>
        <v>#N/A</v>
      </c>
      <c r="F268" s="71" t="e">
        <f>VLOOKUP(IF('ブロック表'!$D$16=9,ゲームNo!$C255,IF('ブロック表'!$D$16=10,ゲームNo!$I255,IF('ブロック表'!$D$16=11,ゲームNo!$O255,ゲームNo!$U255))),'ブロック表'!$A$4:$C$15,3,FALSE)</f>
        <v>#N/A</v>
      </c>
      <c r="G268" s="15" t="e">
        <f>VLOOKUP(IF('ブロック表'!$D$16=9,ゲームNo!$C255,IF('ブロック表'!$D$16=10,ゲームNo!$I255,IF('ブロック表'!$D$16=11,ゲームNo!$O255,ゲームNo!$U255))),'ブロック表'!$A$4:$N$15,9,FALSE)</f>
        <v>#N/A</v>
      </c>
      <c r="H268" s="82"/>
      <c r="I268" s="83"/>
      <c r="J268" s="84"/>
      <c r="K268" s="82"/>
      <c r="L268" s="21" t="e">
        <f>VLOOKUP(IF('ブロック表'!$D$16=9,ゲームNo!$D255,IF('ブロック表'!$D$16=10,ゲームNo!$J255,IF('ブロック表'!$D$16=11,ゲームNo!$P255,ゲームNo!$V255))),'ブロック表'!$A$4:$N$15,9,FALSE)</f>
        <v>#N/A</v>
      </c>
      <c r="M268" s="72" t="e">
        <f>VLOOKUP(IF('ブロック表'!$D$16=9,ゲームNo!$D255,IF('ブロック表'!$D$16=10,ゲームNo!$J255,IF('ブロック表'!$D$16=11,ゲームNo!$P255,ゲームNo!$V255))),'ブロック表'!$A$4:$C$15,3,FALSE)</f>
        <v>#N/A</v>
      </c>
    </row>
    <row r="269" spans="1:13" ht="13.5" customHeight="1">
      <c r="A269" s="98">
        <v>254</v>
      </c>
      <c r="B269" s="70">
        <v>51</v>
      </c>
      <c r="C269" s="132">
        <v>4</v>
      </c>
      <c r="D269" s="104" t="e">
        <f t="shared" si="6"/>
        <v>#N/A</v>
      </c>
      <c r="E269" s="104" t="e">
        <f t="shared" si="7"/>
        <v>#N/A</v>
      </c>
      <c r="F269" s="71" t="e">
        <f>VLOOKUP(IF('ブロック表'!$D$16=9,ゲームNo!$C256,IF('ブロック表'!$D$16=10,ゲームNo!$I256,IF('ブロック表'!$D$16=11,ゲームNo!$O256,ゲームNo!$U256))),'ブロック表'!$A$4:$C$15,3,FALSE)</f>
        <v>#N/A</v>
      </c>
      <c r="G269" s="15" t="e">
        <f>VLOOKUP(IF('ブロック表'!$D$16=9,ゲームNo!$C256,IF('ブロック表'!$D$16=10,ゲームNo!$I256,IF('ブロック表'!$D$16=11,ゲームNo!$O256,ゲームNo!$U256))),'ブロック表'!$A$4:$N$15,11,FALSE)</f>
        <v>#N/A</v>
      </c>
      <c r="H269" s="82"/>
      <c r="I269" s="83"/>
      <c r="J269" s="84"/>
      <c r="K269" s="82"/>
      <c r="L269" s="21" t="e">
        <f>VLOOKUP(IF('ブロック表'!$D$16=9,ゲームNo!$D256,IF('ブロック表'!$D$16=10,ゲームNo!$J256,IF('ブロック表'!$D$16=11,ゲームNo!$P256,ゲームNo!$V256))),'ブロック表'!$A$4:$N$15,11,FALSE)</f>
        <v>#N/A</v>
      </c>
      <c r="M269" s="72" t="e">
        <f>VLOOKUP(IF('ブロック表'!$D$16=9,ゲームNo!$D256,IF('ブロック表'!$D$16=10,ゲームNo!$J256,IF('ブロック表'!$D$16=11,ゲームNo!$P256,ゲームNo!$V256))),'ブロック表'!$A$4:$C$15,3,FALSE)</f>
        <v>#N/A</v>
      </c>
    </row>
    <row r="270" spans="1:13" ht="14.25" customHeight="1">
      <c r="A270" s="99">
        <v>255</v>
      </c>
      <c r="B270" s="73">
        <v>51</v>
      </c>
      <c r="C270" s="133">
        <v>5</v>
      </c>
      <c r="D270" s="105" t="e">
        <f t="shared" si="6"/>
        <v>#N/A</v>
      </c>
      <c r="E270" s="105" t="e">
        <f t="shared" si="7"/>
        <v>#N/A</v>
      </c>
      <c r="F270" s="74" t="e">
        <f>VLOOKUP(IF('ブロック表'!$D$16=9,ゲームNo!$C257,IF('ブロック表'!$D$16=10,ゲームNo!$I257,IF('ブロック表'!$D$16=11,ゲームNo!$O257,ゲームNo!$U257))),'ブロック表'!$A$4:$C$15,3,FALSE)</f>
        <v>#N/A</v>
      </c>
      <c r="G270" s="17" t="e">
        <f>VLOOKUP(IF('ブロック表'!$D$16=9,ゲームNo!$C257,IF('ブロック表'!$D$16=10,ゲームNo!$I257,IF('ブロック表'!$D$16=11,ゲームNo!$O257,ゲームNo!$U257))),'ブロック表'!$A$4:$N$15,13,FALSE)</f>
        <v>#N/A</v>
      </c>
      <c r="H270" s="85"/>
      <c r="I270" s="86"/>
      <c r="J270" s="87"/>
      <c r="K270" s="85"/>
      <c r="L270" s="22" t="e">
        <f>VLOOKUP(IF('ブロック表'!$D$16=9,ゲームNo!$D257,IF('ブロック表'!$D$16=10,ゲームNo!$J257,IF('ブロック表'!$D$16=11,ゲームNo!$P257,ゲームNo!$V257))),'ブロック表'!$A$4:$N$15,13,FALSE)</f>
        <v>#N/A</v>
      </c>
      <c r="M270" s="75" t="e">
        <f>VLOOKUP(IF('ブロック表'!$D$16=9,ゲームNo!$D257,IF('ブロック表'!$D$16=10,ゲームNo!$J257,IF('ブロック表'!$D$16=11,ゲームNo!$P257,ゲームNo!$V257))),'ブロック表'!$A$4:$C$15,3,FALSE)</f>
        <v>#N/A</v>
      </c>
    </row>
    <row r="271" spans="1:13" ht="13.5" customHeight="1">
      <c r="A271" s="97">
        <v>256</v>
      </c>
      <c r="B271" s="92">
        <v>52</v>
      </c>
      <c r="C271" s="131">
        <v>1</v>
      </c>
      <c r="D271" s="106" t="e">
        <f t="shared" si="6"/>
        <v>#N/A</v>
      </c>
      <c r="E271" s="106" t="e">
        <f t="shared" si="7"/>
        <v>#N/A</v>
      </c>
      <c r="F271" s="76" t="e">
        <f>VLOOKUP(IF('ブロック表'!$D$16=9,ゲームNo!$C258,IF('ブロック表'!$D$16=10,ゲームNo!$I258,IF('ブロック表'!$D$16=11,ゲームNo!$O258,ゲームNo!$U258))),'ブロック表'!$A$4:$C$15,3,FALSE)</f>
        <v>#N/A</v>
      </c>
      <c r="G271" s="19" t="e">
        <f>VLOOKUP(IF('ブロック表'!$D$16=9,ゲームNo!$C258,IF('ブロック表'!$D$16=10,ゲームNo!$I258,IF('ブロック表'!$D$16=11,ゲームNo!$O258,ゲームNo!$U258))),'ブロック表'!$A$4:$N$15,5,FALSE)</f>
        <v>#N/A</v>
      </c>
      <c r="H271" s="88"/>
      <c r="I271" s="89"/>
      <c r="J271" s="90"/>
      <c r="K271" s="88"/>
      <c r="L271" s="20" t="e">
        <f>VLOOKUP(IF('ブロック表'!$D$16=9,ゲームNo!$D258,IF('ブロック表'!$D$16=10,ゲームNo!$J258,IF('ブロック表'!$D$16=11,ゲームNo!$P258,ゲームNo!$V258))),'ブロック表'!$A$4:$N$15,5,FALSE)</f>
        <v>#N/A</v>
      </c>
      <c r="M271" s="93" t="e">
        <f>VLOOKUP(IF('ブロック表'!$D$16=9,ゲームNo!$D258,IF('ブロック表'!$D$16=10,ゲームNo!$J258,IF('ブロック表'!$D$16=11,ゲームNo!$P258,ゲームNo!$V258))),'ブロック表'!$A$4:$C$15,3,FALSE)</f>
        <v>#N/A</v>
      </c>
    </row>
    <row r="272" spans="1:13" ht="13.5" customHeight="1">
      <c r="A272" s="98">
        <v>257</v>
      </c>
      <c r="B272" s="70">
        <v>52</v>
      </c>
      <c r="C272" s="132">
        <v>2</v>
      </c>
      <c r="D272" s="104" t="e">
        <f aca="true" t="shared" si="8" ref="D272:D335">M272&amp;G272</f>
        <v>#N/A</v>
      </c>
      <c r="E272" s="104" t="e">
        <f aca="true" t="shared" si="9" ref="E272:E335">F272&amp;L272</f>
        <v>#N/A</v>
      </c>
      <c r="F272" s="71" t="e">
        <f>VLOOKUP(IF('ブロック表'!$D$16=9,ゲームNo!$C259,IF('ブロック表'!$D$16=10,ゲームNo!$I259,IF('ブロック表'!$D$16=11,ゲームNo!$O259,ゲームNo!$U259))),'ブロック表'!$A$4:$C$15,3,FALSE)</f>
        <v>#N/A</v>
      </c>
      <c r="G272" s="15" t="e">
        <f>VLOOKUP(IF('ブロック表'!$D$16=9,ゲームNo!$C259,IF('ブロック表'!$D$16=10,ゲームNo!$I259,IF('ブロック表'!$D$16=11,ゲームNo!$O259,ゲームNo!$U259))),'ブロック表'!$A$4:$N$15,7,FALSE)</f>
        <v>#N/A</v>
      </c>
      <c r="H272" s="82"/>
      <c r="I272" s="83"/>
      <c r="J272" s="84"/>
      <c r="K272" s="82"/>
      <c r="L272" s="21" t="e">
        <f>VLOOKUP(IF('ブロック表'!$D$16=9,ゲームNo!$D259,IF('ブロック表'!$D$16=10,ゲームNo!$J259,IF('ブロック表'!$D$16=11,ゲームNo!$P259,ゲームNo!$V259))),'ブロック表'!$A$4:$N$15,7,FALSE)</f>
        <v>#N/A</v>
      </c>
      <c r="M272" s="72" t="e">
        <f>VLOOKUP(IF('ブロック表'!$D$16=9,ゲームNo!$D259,IF('ブロック表'!$D$16=10,ゲームNo!$J259,IF('ブロック表'!$D$16=11,ゲームNo!$P259,ゲームNo!$V259))),'ブロック表'!$A$4:$C$15,3,FALSE)</f>
        <v>#N/A</v>
      </c>
    </row>
    <row r="273" spans="1:13" ht="13.5" customHeight="1">
      <c r="A273" s="98">
        <v>258</v>
      </c>
      <c r="B273" s="70">
        <v>52</v>
      </c>
      <c r="C273" s="132">
        <v>3</v>
      </c>
      <c r="D273" s="104" t="e">
        <f t="shared" si="8"/>
        <v>#N/A</v>
      </c>
      <c r="E273" s="104" t="e">
        <f t="shared" si="9"/>
        <v>#N/A</v>
      </c>
      <c r="F273" s="71" t="e">
        <f>VLOOKUP(IF('ブロック表'!$D$16=9,ゲームNo!$C260,IF('ブロック表'!$D$16=10,ゲームNo!$I260,IF('ブロック表'!$D$16=11,ゲームNo!$O260,ゲームNo!$U260))),'ブロック表'!$A$4:$C$15,3,FALSE)</f>
        <v>#N/A</v>
      </c>
      <c r="G273" s="15" t="e">
        <f>VLOOKUP(IF('ブロック表'!$D$16=9,ゲームNo!$C260,IF('ブロック表'!$D$16=10,ゲームNo!$I260,IF('ブロック表'!$D$16=11,ゲームNo!$O260,ゲームNo!$U260))),'ブロック表'!$A$4:$N$15,9,FALSE)</f>
        <v>#N/A</v>
      </c>
      <c r="H273" s="82"/>
      <c r="I273" s="83"/>
      <c r="J273" s="84"/>
      <c r="K273" s="82"/>
      <c r="L273" s="21" t="e">
        <f>VLOOKUP(IF('ブロック表'!$D$16=9,ゲームNo!$D260,IF('ブロック表'!$D$16=10,ゲームNo!$J260,IF('ブロック表'!$D$16=11,ゲームNo!$P260,ゲームNo!$V260))),'ブロック表'!$A$4:$N$15,9,FALSE)</f>
        <v>#N/A</v>
      </c>
      <c r="M273" s="72" t="e">
        <f>VLOOKUP(IF('ブロック表'!$D$16=9,ゲームNo!$D260,IF('ブロック表'!$D$16=10,ゲームNo!$J260,IF('ブロック表'!$D$16=11,ゲームNo!$P260,ゲームNo!$V260))),'ブロック表'!$A$4:$C$15,3,FALSE)</f>
        <v>#N/A</v>
      </c>
    </row>
    <row r="274" spans="1:13" ht="13.5" customHeight="1">
      <c r="A274" s="98">
        <v>259</v>
      </c>
      <c r="B274" s="70">
        <v>52</v>
      </c>
      <c r="C274" s="132">
        <v>4</v>
      </c>
      <c r="D274" s="104" t="e">
        <f t="shared" si="8"/>
        <v>#N/A</v>
      </c>
      <c r="E274" s="104" t="e">
        <f t="shared" si="9"/>
        <v>#N/A</v>
      </c>
      <c r="F274" s="71" t="e">
        <f>VLOOKUP(IF('ブロック表'!$D$16=9,ゲームNo!$C261,IF('ブロック表'!$D$16=10,ゲームNo!$I261,IF('ブロック表'!$D$16=11,ゲームNo!$O261,ゲームNo!$U261))),'ブロック表'!$A$4:$C$15,3,FALSE)</f>
        <v>#N/A</v>
      </c>
      <c r="G274" s="15" t="e">
        <f>VLOOKUP(IF('ブロック表'!$D$16=9,ゲームNo!$C261,IF('ブロック表'!$D$16=10,ゲームNo!$I261,IF('ブロック表'!$D$16=11,ゲームNo!$O261,ゲームNo!$U261))),'ブロック表'!$A$4:$N$15,11,FALSE)</f>
        <v>#N/A</v>
      </c>
      <c r="H274" s="82"/>
      <c r="I274" s="83"/>
      <c r="J274" s="84"/>
      <c r="K274" s="82"/>
      <c r="L274" s="21" t="e">
        <f>VLOOKUP(IF('ブロック表'!$D$16=9,ゲームNo!$D261,IF('ブロック表'!$D$16=10,ゲームNo!$J261,IF('ブロック表'!$D$16=11,ゲームNo!$P261,ゲームNo!$V261))),'ブロック表'!$A$4:$N$15,11,FALSE)</f>
        <v>#N/A</v>
      </c>
      <c r="M274" s="72" t="e">
        <f>VLOOKUP(IF('ブロック表'!$D$16=9,ゲームNo!$D261,IF('ブロック表'!$D$16=10,ゲームNo!$J261,IF('ブロック表'!$D$16=11,ゲームNo!$P261,ゲームNo!$V261))),'ブロック表'!$A$4:$C$15,3,FALSE)</f>
        <v>#N/A</v>
      </c>
    </row>
    <row r="275" spans="1:13" ht="14.25" customHeight="1">
      <c r="A275" s="99">
        <v>260</v>
      </c>
      <c r="B275" s="73">
        <v>52</v>
      </c>
      <c r="C275" s="133">
        <v>5</v>
      </c>
      <c r="D275" s="105" t="e">
        <f t="shared" si="8"/>
        <v>#N/A</v>
      </c>
      <c r="E275" s="105" t="e">
        <f t="shared" si="9"/>
        <v>#N/A</v>
      </c>
      <c r="F275" s="74" t="e">
        <f>VLOOKUP(IF('ブロック表'!$D$16=9,ゲームNo!$C262,IF('ブロック表'!$D$16=10,ゲームNo!$I262,IF('ブロック表'!$D$16=11,ゲームNo!$O262,ゲームNo!$U262))),'ブロック表'!$A$4:$C$15,3,FALSE)</f>
        <v>#N/A</v>
      </c>
      <c r="G275" s="17" t="e">
        <f>VLOOKUP(IF('ブロック表'!$D$16=9,ゲームNo!$C262,IF('ブロック表'!$D$16=10,ゲームNo!$I262,IF('ブロック表'!$D$16=11,ゲームNo!$O262,ゲームNo!$U262))),'ブロック表'!$A$4:$N$15,13,FALSE)</f>
        <v>#N/A</v>
      </c>
      <c r="H275" s="85"/>
      <c r="I275" s="86"/>
      <c r="J275" s="87"/>
      <c r="K275" s="85"/>
      <c r="L275" s="22" t="e">
        <f>VLOOKUP(IF('ブロック表'!$D$16=9,ゲームNo!$D262,IF('ブロック表'!$D$16=10,ゲームNo!$J262,IF('ブロック表'!$D$16=11,ゲームNo!$P262,ゲームNo!$V262))),'ブロック表'!$A$4:$N$15,13,FALSE)</f>
        <v>#N/A</v>
      </c>
      <c r="M275" s="75" t="e">
        <f>VLOOKUP(IF('ブロック表'!$D$16=9,ゲームNo!$D262,IF('ブロック表'!$D$16=10,ゲームNo!$J262,IF('ブロック表'!$D$16=11,ゲームNo!$P262,ゲームNo!$V262))),'ブロック表'!$A$4:$C$15,3,FALSE)</f>
        <v>#N/A</v>
      </c>
    </row>
    <row r="276" spans="1:13" ht="13.5" customHeight="1">
      <c r="A276" s="97">
        <v>261</v>
      </c>
      <c r="B276" s="92">
        <v>53</v>
      </c>
      <c r="C276" s="131">
        <v>1</v>
      </c>
      <c r="D276" s="106" t="e">
        <f t="shared" si="8"/>
        <v>#N/A</v>
      </c>
      <c r="E276" s="106" t="e">
        <f t="shared" si="9"/>
        <v>#N/A</v>
      </c>
      <c r="F276" s="76" t="e">
        <f>VLOOKUP(IF('ブロック表'!$D$16=9,ゲームNo!$C263,IF('ブロック表'!$D$16=10,ゲームNo!$I263,IF('ブロック表'!$D$16=11,ゲームNo!$O263,ゲームNo!$U263))),'ブロック表'!$A$4:$C$15,3,FALSE)</f>
        <v>#N/A</v>
      </c>
      <c r="G276" s="19" t="e">
        <f>VLOOKUP(IF('ブロック表'!$D$16=9,ゲームNo!$C263,IF('ブロック表'!$D$16=10,ゲームNo!$I263,IF('ブロック表'!$D$16=11,ゲームNo!$O263,ゲームNo!$U263))),'ブロック表'!$A$4:$N$15,5,FALSE)</f>
        <v>#N/A</v>
      </c>
      <c r="H276" s="88"/>
      <c r="I276" s="89"/>
      <c r="J276" s="90"/>
      <c r="K276" s="88"/>
      <c r="L276" s="20" t="e">
        <f>VLOOKUP(IF('ブロック表'!$D$16=9,ゲームNo!$D263,IF('ブロック表'!$D$16=10,ゲームNo!$J263,IF('ブロック表'!$D$16=11,ゲームNo!$P263,ゲームNo!$V263))),'ブロック表'!$A$4:$N$15,5,FALSE)</f>
        <v>#N/A</v>
      </c>
      <c r="M276" s="93" t="e">
        <f>VLOOKUP(IF('ブロック表'!$D$16=9,ゲームNo!$D263,IF('ブロック表'!$D$16=10,ゲームNo!$J263,IF('ブロック表'!$D$16=11,ゲームNo!$P263,ゲームNo!$V263))),'ブロック表'!$A$4:$C$15,3,FALSE)</f>
        <v>#N/A</v>
      </c>
    </row>
    <row r="277" spans="1:13" ht="13.5" customHeight="1">
      <c r="A277" s="98">
        <v>262</v>
      </c>
      <c r="B277" s="70">
        <v>53</v>
      </c>
      <c r="C277" s="132">
        <v>2</v>
      </c>
      <c r="D277" s="104" t="e">
        <f t="shared" si="8"/>
        <v>#N/A</v>
      </c>
      <c r="E277" s="104" t="e">
        <f t="shared" si="9"/>
        <v>#N/A</v>
      </c>
      <c r="F277" s="71" t="e">
        <f>VLOOKUP(IF('ブロック表'!$D$16=9,ゲームNo!$C264,IF('ブロック表'!$D$16=10,ゲームNo!$I264,IF('ブロック表'!$D$16=11,ゲームNo!$O264,ゲームNo!$U264))),'ブロック表'!$A$4:$C$15,3,FALSE)</f>
        <v>#N/A</v>
      </c>
      <c r="G277" s="15" t="e">
        <f>VLOOKUP(IF('ブロック表'!$D$16=9,ゲームNo!$C264,IF('ブロック表'!$D$16=10,ゲームNo!$I264,IF('ブロック表'!$D$16=11,ゲームNo!$O264,ゲームNo!$U264))),'ブロック表'!$A$4:$N$15,7,FALSE)</f>
        <v>#N/A</v>
      </c>
      <c r="H277" s="82"/>
      <c r="I277" s="83"/>
      <c r="J277" s="84"/>
      <c r="K277" s="82"/>
      <c r="L277" s="21" t="e">
        <f>VLOOKUP(IF('ブロック表'!$D$16=9,ゲームNo!$D264,IF('ブロック表'!$D$16=10,ゲームNo!$J264,IF('ブロック表'!$D$16=11,ゲームNo!$P264,ゲームNo!$V264))),'ブロック表'!$A$4:$N$15,7,FALSE)</f>
        <v>#N/A</v>
      </c>
      <c r="M277" s="72" t="e">
        <f>VLOOKUP(IF('ブロック表'!$D$16=9,ゲームNo!$D264,IF('ブロック表'!$D$16=10,ゲームNo!$J264,IF('ブロック表'!$D$16=11,ゲームNo!$P264,ゲームNo!$V264))),'ブロック表'!$A$4:$C$15,3,FALSE)</f>
        <v>#N/A</v>
      </c>
    </row>
    <row r="278" spans="1:13" ht="13.5" customHeight="1">
      <c r="A278" s="98">
        <v>263</v>
      </c>
      <c r="B278" s="70">
        <v>53</v>
      </c>
      <c r="C278" s="132">
        <v>3</v>
      </c>
      <c r="D278" s="104" t="e">
        <f t="shared" si="8"/>
        <v>#N/A</v>
      </c>
      <c r="E278" s="104" t="e">
        <f t="shared" si="9"/>
        <v>#N/A</v>
      </c>
      <c r="F278" s="71" t="e">
        <f>VLOOKUP(IF('ブロック表'!$D$16=9,ゲームNo!$C265,IF('ブロック表'!$D$16=10,ゲームNo!$I265,IF('ブロック表'!$D$16=11,ゲームNo!$O265,ゲームNo!$U265))),'ブロック表'!$A$4:$C$15,3,FALSE)</f>
        <v>#N/A</v>
      </c>
      <c r="G278" s="15" t="e">
        <f>VLOOKUP(IF('ブロック表'!$D$16=9,ゲームNo!$C265,IF('ブロック表'!$D$16=10,ゲームNo!$I265,IF('ブロック表'!$D$16=11,ゲームNo!$O265,ゲームNo!$U265))),'ブロック表'!$A$4:$N$15,9,FALSE)</f>
        <v>#N/A</v>
      </c>
      <c r="H278" s="82"/>
      <c r="I278" s="83"/>
      <c r="J278" s="84"/>
      <c r="K278" s="82"/>
      <c r="L278" s="21" t="e">
        <f>VLOOKUP(IF('ブロック表'!$D$16=9,ゲームNo!$D265,IF('ブロック表'!$D$16=10,ゲームNo!$J265,IF('ブロック表'!$D$16=11,ゲームNo!$P265,ゲームNo!$V265))),'ブロック表'!$A$4:$N$15,9,FALSE)</f>
        <v>#N/A</v>
      </c>
      <c r="M278" s="72" t="e">
        <f>VLOOKUP(IF('ブロック表'!$D$16=9,ゲームNo!$D265,IF('ブロック表'!$D$16=10,ゲームNo!$J265,IF('ブロック表'!$D$16=11,ゲームNo!$P265,ゲームNo!$V265))),'ブロック表'!$A$4:$C$15,3,FALSE)</f>
        <v>#N/A</v>
      </c>
    </row>
    <row r="279" spans="1:13" ht="13.5" customHeight="1">
      <c r="A279" s="98">
        <v>264</v>
      </c>
      <c r="B279" s="70">
        <v>53</v>
      </c>
      <c r="C279" s="132">
        <v>4</v>
      </c>
      <c r="D279" s="104" t="e">
        <f t="shared" si="8"/>
        <v>#N/A</v>
      </c>
      <c r="E279" s="104" t="e">
        <f t="shared" si="9"/>
        <v>#N/A</v>
      </c>
      <c r="F279" s="71" t="e">
        <f>VLOOKUP(IF('ブロック表'!$D$16=9,ゲームNo!$C266,IF('ブロック表'!$D$16=10,ゲームNo!$I266,IF('ブロック表'!$D$16=11,ゲームNo!$O266,ゲームNo!$U266))),'ブロック表'!$A$4:$C$15,3,FALSE)</f>
        <v>#N/A</v>
      </c>
      <c r="G279" s="15" t="e">
        <f>VLOOKUP(IF('ブロック表'!$D$16=9,ゲームNo!$C266,IF('ブロック表'!$D$16=10,ゲームNo!$I266,IF('ブロック表'!$D$16=11,ゲームNo!$O266,ゲームNo!$U266))),'ブロック表'!$A$4:$N$15,11,FALSE)</f>
        <v>#N/A</v>
      </c>
      <c r="H279" s="82"/>
      <c r="I279" s="83"/>
      <c r="J279" s="84"/>
      <c r="K279" s="82"/>
      <c r="L279" s="21" t="e">
        <f>VLOOKUP(IF('ブロック表'!$D$16=9,ゲームNo!$D266,IF('ブロック表'!$D$16=10,ゲームNo!$J266,IF('ブロック表'!$D$16=11,ゲームNo!$P266,ゲームNo!$V266))),'ブロック表'!$A$4:$N$15,11,FALSE)</f>
        <v>#N/A</v>
      </c>
      <c r="M279" s="72" t="e">
        <f>VLOOKUP(IF('ブロック表'!$D$16=9,ゲームNo!$D266,IF('ブロック表'!$D$16=10,ゲームNo!$J266,IF('ブロック表'!$D$16=11,ゲームNo!$P266,ゲームNo!$V266))),'ブロック表'!$A$4:$C$15,3,FALSE)</f>
        <v>#N/A</v>
      </c>
    </row>
    <row r="280" spans="1:13" ht="14.25" customHeight="1">
      <c r="A280" s="99">
        <v>265</v>
      </c>
      <c r="B280" s="73">
        <v>53</v>
      </c>
      <c r="C280" s="133">
        <v>5</v>
      </c>
      <c r="D280" s="105" t="e">
        <f t="shared" si="8"/>
        <v>#N/A</v>
      </c>
      <c r="E280" s="105" t="e">
        <f t="shared" si="9"/>
        <v>#N/A</v>
      </c>
      <c r="F280" s="74" t="e">
        <f>VLOOKUP(IF('ブロック表'!$D$16=9,ゲームNo!$C267,IF('ブロック表'!$D$16=10,ゲームNo!$I267,IF('ブロック表'!$D$16=11,ゲームNo!$O267,ゲームNo!$U267))),'ブロック表'!$A$4:$C$15,3,FALSE)</f>
        <v>#N/A</v>
      </c>
      <c r="G280" s="17" t="e">
        <f>VLOOKUP(IF('ブロック表'!$D$16=9,ゲームNo!$C267,IF('ブロック表'!$D$16=10,ゲームNo!$I267,IF('ブロック表'!$D$16=11,ゲームNo!$O267,ゲームNo!$U267))),'ブロック表'!$A$4:$N$15,13,FALSE)</f>
        <v>#N/A</v>
      </c>
      <c r="H280" s="85"/>
      <c r="I280" s="86"/>
      <c r="J280" s="87"/>
      <c r="K280" s="85"/>
      <c r="L280" s="22" t="e">
        <f>VLOOKUP(IF('ブロック表'!$D$16=9,ゲームNo!$D267,IF('ブロック表'!$D$16=10,ゲームNo!$J267,IF('ブロック表'!$D$16=11,ゲームNo!$P267,ゲームNo!$V267))),'ブロック表'!$A$4:$N$15,13,FALSE)</f>
        <v>#N/A</v>
      </c>
      <c r="M280" s="75" t="e">
        <f>VLOOKUP(IF('ブロック表'!$D$16=9,ゲームNo!$D267,IF('ブロック表'!$D$16=10,ゲームNo!$J267,IF('ブロック表'!$D$16=11,ゲームNo!$P267,ゲームNo!$V267))),'ブロック表'!$A$4:$C$15,3,FALSE)</f>
        <v>#N/A</v>
      </c>
    </row>
    <row r="281" spans="1:13" ht="13.5" customHeight="1">
      <c r="A281" s="97">
        <v>266</v>
      </c>
      <c r="B281" s="92">
        <v>54</v>
      </c>
      <c r="C281" s="131">
        <v>1</v>
      </c>
      <c r="D281" s="106" t="e">
        <f t="shared" si="8"/>
        <v>#N/A</v>
      </c>
      <c r="E281" s="106" t="e">
        <f t="shared" si="9"/>
        <v>#N/A</v>
      </c>
      <c r="F281" s="76" t="e">
        <f>VLOOKUP(IF('ブロック表'!$D$16=9,ゲームNo!$C268,IF('ブロック表'!$D$16=10,ゲームNo!$I268,IF('ブロック表'!$D$16=11,ゲームNo!$O268,ゲームNo!$U268))),'ブロック表'!$A$4:$C$15,3,FALSE)</f>
        <v>#N/A</v>
      </c>
      <c r="G281" s="19" t="e">
        <f>VLOOKUP(IF('ブロック表'!$D$16=9,ゲームNo!$C268,IF('ブロック表'!$D$16=10,ゲームNo!$I268,IF('ブロック表'!$D$16=11,ゲームNo!$O268,ゲームNo!$U268))),'ブロック表'!$A$4:$N$15,5,FALSE)</f>
        <v>#N/A</v>
      </c>
      <c r="H281" s="88"/>
      <c r="I281" s="89"/>
      <c r="J281" s="90"/>
      <c r="K281" s="88"/>
      <c r="L281" s="20" t="e">
        <f>VLOOKUP(IF('ブロック表'!$D$16=9,ゲームNo!$D268,IF('ブロック表'!$D$16=10,ゲームNo!$J268,IF('ブロック表'!$D$16=11,ゲームNo!$P268,ゲームNo!$V268))),'ブロック表'!$A$4:$N$15,5,FALSE)</f>
        <v>#N/A</v>
      </c>
      <c r="M281" s="93" t="e">
        <f>VLOOKUP(IF('ブロック表'!$D$16=9,ゲームNo!$D268,IF('ブロック表'!$D$16=10,ゲームNo!$J268,IF('ブロック表'!$D$16=11,ゲームNo!$P268,ゲームNo!$V268))),'ブロック表'!$A$4:$C$15,3,FALSE)</f>
        <v>#N/A</v>
      </c>
    </row>
    <row r="282" spans="1:13" ht="13.5" customHeight="1">
      <c r="A282" s="98">
        <v>267</v>
      </c>
      <c r="B282" s="70">
        <v>54</v>
      </c>
      <c r="C282" s="132">
        <v>2</v>
      </c>
      <c r="D282" s="104" t="e">
        <f t="shared" si="8"/>
        <v>#N/A</v>
      </c>
      <c r="E282" s="104" t="e">
        <f t="shared" si="9"/>
        <v>#N/A</v>
      </c>
      <c r="F282" s="71" t="e">
        <f>VLOOKUP(IF('ブロック表'!$D$16=9,ゲームNo!$C269,IF('ブロック表'!$D$16=10,ゲームNo!$I269,IF('ブロック表'!$D$16=11,ゲームNo!$O269,ゲームNo!$U269))),'ブロック表'!$A$4:$C$15,3,FALSE)</f>
        <v>#N/A</v>
      </c>
      <c r="G282" s="15" t="e">
        <f>VLOOKUP(IF('ブロック表'!$D$16=9,ゲームNo!$C269,IF('ブロック表'!$D$16=10,ゲームNo!$I269,IF('ブロック表'!$D$16=11,ゲームNo!$O269,ゲームNo!$U269))),'ブロック表'!$A$4:$N$15,7,FALSE)</f>
        <v>#N/A</v>
      </c>
      <c r="H282" s="82"/>
      <c r="I282" s="83"/>
      <c r="J282" s="84"/>
      <c r="K282" s="82"/>
      <c r="L282" s="21" t="e">
        <f>VLOOKUP(IF('ブロック表'!$D$16=9,ゲームNo!$D269,IF('ブロック表'!$D$16=10,ゲームNo!$J269,IF('ブロック表'!$D$16=11,ゲームNo!$P269,ゲームNo!$V269))),'ブロック表'!$A$4:$N$15,7,FALSE)</f>
        <v>#N/A</v>
      </c>
      <c r="M282" s="72" t="e">
        <f>VLOOKUP(IF('ブロック表'!$D$16=9,ゲームNo!$D269,IF('ブロック表'!$D$16=10,ゲームNo!$J269,IF('ブロック表'!$D$16=11,ゲームNo!$P269,ゲームNo!$V269))),'ブロック表'!$A$4:$C$15,3,FALSE)</f>
        <v>#N/A</v>
      </c>
    </row>
    <row r="283" spans="1:13" ht="13.5" customHeight="1">
      <c r="A283" s="98">
        <v>268</v>
      </c>
      <c r="B283" s="70">
        <v>54</v>
      </c>
      <c r="C283" s="132">
        <v>3</v>
      </c>
      <c r="D283" s="104" t="e">
        <f t="shared" si="8"/>
        <v>#N/A</v>
      </c>
      <c r="E283" s="104" t="e">
        <f t="shared" si="9"/>
        <v>#N/A</v>
      </c>
      <c r="F283" s="71" t="e">
        <f>VLOOKUP(IF('ブロック表'!$D$16=9,ゲームNo!$C270,IF('ブロック表'!$D$16=10,ゲームNo!$I270,IF('ブロック表'!$D$16=11,ゲームNo!$O270,ゲームNo!$U270))),'ブロック表'!$A$4:$C$15,3,FALSE)</f>
        <v>#N/A</v>
      </c>
      <c r="G283" s="15" t="e">
        <f>VLOOKUP(IF('ブロック表'!$D$16=9,ゲームNo!$C270,IF('ブロック表'!$D$16=10,ゲームNo!$I270,IF('ブロック表'!$D$16=11,ゲームNo!$O270,ゲームNo!$U270))),'ブロック表'!$A$4:$N$15,9,FALSE)</f>
        <v>#N/A</v>
      </c>
      <c r="H283" s="82"/>
      <c r="I283" s="83"/>
      <c r="J283" s="84"/>
      <c r="K283" s="82"/>
      <c r="L283" s="21" t="e">
        <f>VLOOKUP(IF('ブロック表'!$D$16=9,ゲームNo!$D270,IF('ブロック表'!$D$16=10,ゲームNo!$J270,IF('ブロック表'!$D$16=11,ゲームNo!$P270,ゲームNo!$V270))),'ブロック表'!$A$4:$N$15,9,FALSE)</f>
        <v>#N/A</v>
      </c>
      <c r="M283" s="72" t="e">
        <f>VLOOKUP(IF('ブロック表'!$D$16=9,ゲームNo!$D270,IF('ブロック表'!$D$16=10,ゲームNo!$J270,IF('ブロック表'!$D$16=11,ゲームNo!$P270,ゲームNo!$V270))),'ブロック表'!$A$4:$C$15,3,FALSE)</f>
        <v>#N/A</v>
      </c>
    </row>
    <row r="284" spans="1:13" ht="13.5" customHeight="1">
      <c r="A284" s="98">
        <v>269</v>
      </c>
      <c r="B284" s="70">
        <v>54</v>
      </c>
      <c r="C284" s="132">
        <v>4</v>
      </c>
      <c r="D284" s="104" t="e">
        <f t="shared" si="8"/>
        <v>#N/A</v>
      </c>
      <c r="E284" s="104" t="e">
        <f t="shared" si="9"/>
        <v>#N/A</v>
      </c>
      <c r="F284" s="71" t="e">
        <f>VLOOKUP(IF('ブロック表'!$D$16=9,ゲームNo!$C271,IF('ブロック表'!$D$16=10,ゲームNo!$I271,IF('ブロック表'!$D$16=11,ゲームNo!$O271,ゲームNo!$U271))),'ブロック表'!$A$4:$C$15,3,FALSE)</f>
        <v>#N/A</v>
      </c>
      <c r="G284" s="15" t="e">
        <f>VLOOKUP(IF('ブロック表'!$D$16=9,ゲームNo!$C271,IF('ブロック表'!$D$16=10,ゲームNo!$I271,IF('ブロック表'!$D$16=11,ゲームNo!$O271,ゲームNo!$U271))),'ブロック表'!$A$4:$N$15,11,FALSE)</f>
        <v>#N/A</v>
      </c>
      <c r="H284" s="82"/>
      <c r="I284" s="83"/>
      <c r="J284" s="84"/>
      <c r="K284" s="82"/>
      <c r="L284" s="21" t="e">
        <f>VLOOKUP(IF('ブロック表'!$D$16=9,ゲームNo!$D271,IF('ブロック表'!$D$16=10,ゲームNo!$J271,IF('ブロック表'!$D$16=11,ゲームNo!$P271,ゲームNo!$V271))),'ブロック表'!$A$4:$N$15,11,FALSE)</f>
        <v>#N/A</v>
      </c>
      <c r="M284" s="72" t="e">
        <f>VLOOKUP(IF('ブロック表'!$D$16=9,ゲームNo!$D271,IF('ブロック表'!$D$16=10,ゲームNo!$J271,IF('ブロック表'!$D$16=11,ゲームNo!$P271,ゲームNo!$V271))),'ブロック表'!$A$4:$C$15,3,FALSE)</f>
        <v>#N/A</v>
      </c>
    </row>
    <row r="285" spans="1:13" ht="14.25" customHeight="1">
      <c r="A285" s="99">
        <v>270</v>
      </c>
      <c r="B285" s="73">
        <v>54</v>
      </c>
      <c r="C285" s="133">
        <v>5</v>
      </c>
      <c r="D285" s="105" t="e">
        <f t="shared" si="8"/>
        <v>#N/A</v>
      </c>
      <c r="E285" s="105" t="e">
        <f t="shared" si="9"/>
        <v>#N/A</v>
      </c>
      <c r="F285" s="74" t="e">
        <f>VLOOKUP(IF('ブロック表'!$D$16=9,ゲームNo!$C272,IF('ブロック表'!$D$16=10,ゲームNo!$I272,IF('ブロック表'!$D$16=11,ゲームNo!$O272,ゲームNo!$U272))),'ブロック表'!$A$4:$C$15,3,FALSE)</f>
        <v>#N/A</v>
      </c>
      <c r="G285" s="17" t="e">
        <f>VLOOKUP(IF('ブロック表'!$D$16=9,ゲームNo!$C272,IF('ブロック表'!$D$16=10,ゲームNo!$I272,IF('ブロック表'!$D$16=11,ゲームNo!$O272,ゲームNo!$U272))),'ブロック表'!$A$4:$N$15,13,FALSE)</f>
        <v>#N/A</v>
      </c>
      <c r="H285" s="85"/>
      <c r="I285" s="86"/>
      <c r="J285" s="87"/>
      <c r="K285" s="85"/>
      <c r="L285" s="22" t="e">
        <f>VLOOKUP(IF('ブロック表'!$D$16=9,ゲームNo!$D272,IF('ブロック表'!$D$16=10,ゲームNo!$J272,IF('ブロック表'!$D$16=11,ゲームNo!$P272,ゲームNo!$V272))),'ブロック表'!$A$4:$N$15,13,FALSE)</f>
        <v>#N/A</v>
      </c>
      <c r="M285" s="75" t="e">
        <f>VLOOKUP(IF('ブロック表'!$D$16=9,ゲームNo!$D272,IF('ブロック表'!$D$16=10,ゲームNo!$J272,IF('ブロック表'!$D$16=11,ゲームNo!$P272,ゲームNo!$V272))),'ブロック表'!$A$4:$C$15,3,FALSE)</f>
        <v>#N/A</v>
      </c>
    </row>
    <row r="286" spans="1:13" ht="13.5" customHeight="1">
      <c r="A286" s="97">
        <v>271</v>
      </c>
      <c r="B286" s="92">
        <v>55</v>
      </c>
      <c r="C286" s="131">
        <v>1</v>
      </c>
      <c r="D286" s="106" t="e">
        <f t="shared" si="8"/>
        <v>#N/A</v>
      </c>
      <c r="E286" s="106" t="e">
        <f t="shared" si="9"/>
        <v>#N/A</v>
      </c>
      <c r="F286" s="76" t="e">
        <f>VLOOKUP(IF('ブロック表'!$D$16=9,ゲームNo!$C273,IF('ブロック表'!$D$16=10,ゲームNo!$I273,IF('ブロック表'!$D$16=11,ゲームNo!$O273,ゲームNo!$U273))),'ブロック表'!$A$4:$C$15,3,FALSE)</f>
        <v>#N/A</v>
      </c>
      <c r="G286" s="19" t="e">
        <f>VLOOKUP(IF('ブロック表'!$D$16=9,ゲームNo!$C273,IF('ブロック表'!$D$16=10,ゲームNo!$I273,IF('ブロック表'!$D$16=11,ゲームNo!$O273,ゲームNo!$U273))),'ブロック表'!$A$4:$N$15,5,FALSE)</f>
        <v>#N/A</v>
      </c>
      <c r="H286" s="88"/>
      <c r="I286" s="89"/>
      <c r="J286" s="90"/>
      <c r="K286" s="88"/>
      <c r="L286" s="20" t="e">
        <f>VLOOKUP(IF('ブロック表'!$D$16=9,ゲームNo!$D273,IF('ブロック表'!$D$16=10,ゲームNo!$J273,IF('ブロック表'!$D$16=11,ゲームNo!$P273,ゲームNo!$V273))),'ブロック表'!$A$4:$N$15,5,FALSE)</f>
        <v>#N/A</v>
      </c>
      <c r="M286" s="93" t="e">
        <f>VLOOKUP(IF('ブロック表'!$D$16=9,ゲームNo!$D273,IF('ブロック表'!$D$16=10,ゲームNo!$J273,IF('ブロック表'!$D$16=11,ゲームNo!$P273,ゲームNo!$V273))),'ブロック表'!$A$4:$C$15,3,FALSE)</f>
        <v>#N/A</v>
      </c>
    </row>
    <row r="287" spans="1:13" ht="13.5" customHeight="1">
      <c r="A287" s="98">
        <v>272</v>
      </c>
      <c r="B287" s="70">
        <v>55</v>
      </c>
      <c r="C287" s="132">
        <v>2</v>
      </c>
      <c r="D287" s="104" t="e">
        <f t="shared" si="8"/>
        <v>#N/A</v>
      </c>
      <c r="E287" s="104" t="e">
        <f t="shared" si="9"/>
        <v>#N/A</v>
      </c>
      <c r="F287" s="71" t="e">
        <f>VLOOKUP(IF('ブロック表'!$D$16=9,ゲームNo!$C274,IF('ブロック表'!$D$16=10,ゲームNo!$I274,IF('ブロック表'!$D$16=11,ゲームNo!$O274,ゲームNo!$U274))),'ブロック表'!$A$4:$C$15,3,FALSE)</f>
        <v>#N/A</v>
      </c>
      <c r="G287" s="15" t="e">
        <f>VLOOKUP(IF('ブロック表'!$D$16=9,ゲームNo!$C274,IF('ブロック表'!$D$16=10,ゲームNo!$I274,IF('ブロック表'!$D$16=11,ゲームNo!$O274,ゲームNo!$U274))),'ブロック表'!$A$4:$N$15,7,FALSE)</f>
        <v>#N/A</v>
      </c>
      <c r="H287" s="82"/>
      <c r="I287" s="83"/>
      <c r="J287" s="84"/>
      <c r="K287" s="82"/>
      <c r="L287" s="21" t="e">
        <f>VLOOKUP(IF('ブロック表'!$D$16=9,ゲームNo!$D274,IF('ブロック表'!$D$16=10,ゲームNo!$J274,IF('ブロック表'!$D$16=11,ゲームNo!$P274,ゲームNo!$V274))),'ブロック表'!$A$4:$N$15,7,FALSE)</f>
        <v>#N/A</v>
      </c>
      <c r="M287" s="72" t="e">
        <f>VLOOKUP(IF('ブロック表'!$D$16=9,ゲームNo!$D274,IF('ブロック表'!$D$16=10,ゲームNo!$J274,IF('ブロック表'!$D$16=11,ゲームNo!$P274,ゲームNo!$V274))),'ブロック表'!$A$4:$C$15,3,FALSE)</f>
        <v>#N/A</v>
      </c>
    </row>
    <row r="288" spans="1:13" ht="13.5" customHeight="1">
      <c r="A288" s="98">
        <v>273</v>
      </c>
      <c r="B288" s="70">
        <v>55</v>
      </c>
      <c r="C288" s="132">
        <v>3</v>
      </c>
      <c r="D288" s="104" t="e">
        <f t="shared" si="8"/>
        <v>#N/A</v>
      </c>
      <c r="E288" s="104" t="e">
        <f t="shared" si="9"/>
        <v>#N/A</v>
      </c>
      <c r="F288" s="71" t="e">
        <f>VLOOKUP(IF('ブロック表'!$D$16=9,ゲームNo!$C275,IF('ブロック表'!$D$16=10,ゲームNo!$I275,IF('ブロック表'!$D$16=11,ゲームNo!$O275,ゲームNo!$U275))),'ブロック表'!$A$4:$C$15,3,FALSE)</f>
        <v>#N/A</v>
      </c>
      <c r="G288" s="15" t="e">
        <f>VLOOKUP(IF('ブロック表'!$D$16=9,ゲームNo!$C275,IF('ブロック表'!$D$16=10,ゲームNo!$I275,IF('ブロック表'!$D$16=11,ゲームNo!$O275,ゲームNo!$U275))),'ブロック表'!$A$4:$N$15,9,FALSE)</f>
        <v>#N/A</v>
      </c>
      <c r="H288" s="82"/>
      <c r="I288" s="83"/>
      <c r="J288" s="84"/>
      <c r="K288" s="82"/>
      <c r="L288" s="21" t="e">
        <f>VLOOKUP(IF('ブロック表'!$D$16=9,ゲームNo!$D275,IF('ブロック表'!$D$16=10,ゲームNo!$J275,IF('ブロック表'!$D$16=11,ゲームNo!$P275,ゲームNo!$V275))),'ブロック表'!$A$4:$N$15,9,FALSE)</f>
        <v>#N/A</v>
      </c>
      <c r="M288" s="72" t="e">
        <f>VLOOKUP(IF('ブロック表'!$D$16=9,ゲームNo!$D275,IF('ブロック表'!$D$16=10,ゲームNo!$J275,IF('ブロック表'!$D$16=11,ゲームNo!$P275,ゲームNo!$V275))),'ブロック表'!$A$4:$C$15,3,FALSE)</f>
        <v>#N/A</v>
      </c>
    </row>
    <row r="289" spans="1:13" ht="13.5" customHeight="1">
      <c r="A289" s="98">
        <v>274</v>
      </c>
      <c r="B289" s="70">
        <v>55</v>
      </c>
      <c r="C289" s="132">
        <v>4</v>
      </c>
      <c r="D289" s="104" t="e">
        <f t="shared" si="8"/>
        <v>#N/A</v>
      </c>
      <c r="E289" s="104" t="e">
        <f t="shared" si="9"/>
        <v>#N/A</v>
      </c>
      <c r="F289" s="71" t="e">
        <f>VLOOKUP(IF('ブロック表'!$D$16=9,ゲームNo!$C276,IF('ブロック表'!$D$16=10,ゲームNo!$I276,IF('ブロック表'!$D$16=11,ゲームNo!$O276,ゲームNo!$U276))),'ブロック表'!$A$4:$C$15,3,FALSE)</f>
        <v>#N/A</v>
      </c>
      <c r="G289" s="15" t="e">
        <f>VLOOKUP(IF('ブロック表'!$D$16=9,ゲームNo!$C276,IF('ブロック表'!$D$16=10,ゲームNo!$I276,IF('ブロック表'!$D$16=11,ゲームNo!$O276,ゲームNo!$U276))),'ブロック表'!$A$4:$N$15,11,FALSE)</f>
        <v>#N/A</v>
      </c>
      <c r="H289" s="82"/>
      <c r="I289" s="83"/>
      <c r="J289" s="84"/>
      <c r="K289" s="82"/>
      <c r="L289" s="21" t="e">
        <f>VLOOKUP(IF('ブロック表'!$D$16=9,ゲームNo!$D276,IF('ブロック表'!$D$16=10,ゲームNo!$J276,IF('ブロック表'!$D$16=11,ゲームNo!$P276,ゲームNo!$V276))),'ブロック表'!$A$4:$N$15,11,FALSE)</f>
        <v>#N/A</v>
      </c>
      <c r="M289" s="72" t="e">
        <f>VLOOKUP(IF('ブロック表'!$D$16=9,ゲームNo!$D276,IF('ブロック表'!$D$16=10,ゲームNo!$J276,IF('ブロック表'!$D$16=11,ゲームNo!$P276,ゲームNo!$V276))),'ブロック表'!$A$4:$C$15,3,FALSE)</f>
        <v>#N/A</v>
      </c>
    </row>
    <row r="290" spans="1:13" ht="14.25" customHeight="1">
      <c r="A290" s="99">
        <v>275</v>
      </c>
      <c r="B290" s="73">
        <v>55</v>
      </c>
      <c r="C290" s="133">
        <v>5</v>
      </c>
      <c r="D290" s="105" t="e">
        <f t="shared" si="8"/>
        <v>#N/A</v>
      </c>
      <c r="E290" s="105" t="e">
        <f t="shared" si="9"/>
        <v>#N/A</v>
      </c>
      <c r="F290" s="74" t="e">
        <f>VLOOKUP(IF('ブロック表'!$D$16=9,ゲームNo!$C277,IF('ブロック表'!$D$16=10,ゲームNo!$I277,IF('ブロック表'!$D$16=11,ゲームNo!$O277,ゲームNo!$U277))),'ブロック表'!$A$4:$C$15,3,FALSE)</f>
        <v>#N/A</v>
      </c>
      <c r="G290" s="17" t="e">
        <f>VLOOKUP(IF('ブロック表'!$D$16=9,ゲームNo!$C277,IF('ブロック表'!$D$16=10,ゲームNo!$I277,IF('ブロック表'!$D$16=11,ゲームNo!$O277,ゲームNo!$U277))),'ブロック表'!$A$4:$N$15,13,FALSE)</f>
        <v>#N/A</v>
      </c>
      <c r="H290" s="85"/>
      <c r="I290" s="86"/>
      <c r="J290" s="87"/>
      <c r="K290" s="85"/>
      <c r="L290" s="22" t="e">
        <f>VLOOKUP(IF('ブロック表'!$D$16=9,ゲームNo!$D277,IF('ブロック表'!$D$16=10,ゲームNo!$J277,IF('ブロック表'!$D$16=11,ゲームNo!$P277,ゲームNo!$V277))),'ブロック表'!$A$4:$N$15,13,FALSE)</f>
        <v>#N/A</v>
      </c>
      <c r="M290" s="75" t="e">
        <f>VLOOKUP(IF('ブロック表'!$D$16=9,ゲームNo!$D277,IF('ブロック表'!$D$16=10,ゲームNo!$J277,IF('ブロック表'!$D$16=11,ゲームNo!$P277,ゲームNo!$V277))),'ブロック表'!$A$4:$C$15,3,FALSE)</f>
        <v>#N/A</v>
      </c>
    </row>
    <row r="291" spans="1:13" ht="13.5" customHeight="1">
      <c r="A291" s="97">
        <v>276</v>
      </c>
      <c r="B291" s="92">
        <v>56</v>
      </c>
      <c r="C291" s="131">
        <v>1</v>
      </c>
      <c r="D291" s="106" t="e">
        <f t="shared" si="8"/>
        <v>#N/A</v>
      </c>
      <c r="E291" s="106" t="e">
        <f t="shared" si="9"/>
        <v>#N/A</v>
      </c>
      <c r="F291" s="76" t="e">
        <f>VLOOKUP(IF('ブロック表'!$D$16=9,ゲームNo!$C278,IF('ブロック表'!$D$16=10,ゲームNo!$I278,IF('ブロック表'!$D$16=11,ゲームNo!$O278,ゲームNo!$U278))),'ブロック表'!$A$4:$C$15,3,FALSE)</f>
        <v>#N/A</v>
      </c>
      <c r="G291" s="19" t="e">
        <f>VLOOKUP(IF('ブロック表'!$D$16=9,ゲームNo!$C278,IF('ブロック表'!$D$16=10,ゲームNo!$I278,IF('ブロック表'!$D$16=11,ゲームNo!$O278,ゲームNo!$U278))),'ブロック表'!$A$4:$N$15,5,FALSE)</f>
        <v>#N/A</v>
      </c>
      <c r="H291" s="88"/>
      <c r="I291" s="89"/>
      <c r="J291" s="90"/>
      <c r="K291" s="88"/>
      <c r="L291" s="20" t="e">
        <f>VLOOKUP(IF('ブロック表'!$D$16=9,ゲームNo!$D278,IF('ブロック表'!$D$16=10,ゲームNo!$J278,IF('ブロック表'!$D$16=11,ゲームNo!$P278,ゲームNo!$V278))),'ブロック表'!$A$4:$N$15,5,FALSE)</f>
        <v>#N/A</v>
      </c>
      <c r="M291" s="93" t="e">
        <f>VLOOKUP(IF('ブロック表'!$D$16=9,ゲームNo!$D278,IF('ブロック表'!$D$16=10,ゲームNo!$J278,IF('ブロック表'!$D$16=11,ゲームNo!$P278,ゲームNo!$V278))),'ブロック表'!$A$4:$C$15,3,FALSE)</f>
        <v>#N/A</v>
      </c>
    </row>
    <row r="292" spans="1:13" ht="13.5" customHeight="1">
      <c r="A292" s="98">
        <v>277</v>
      </c>
      <c r="B292" s="70">
        <v>56</v>
      </c>
      <c r="C292" s="132">
        <v>2</v>
      </c>
      <c r="D292" s="104" t="e">
        <f t="shared" si="8"/>
        <v>#N/A</v>
      </c>
      <c r="E292" s="104" t="e">
        <f t="shared" si="9"/>
        <v>#N/A</v>
      </c>
      <c r="F292" s="71" t="e">
        <f>VLOOKUP(IF('ブロック表'!$D$16=9,ゲームNo!$C279,IF('ブロック表'!$D$16=10,ゲームNo!$I279,IF('ブロック表'!$D$16=11,ゲームNo!$O279,ゲームNo!$U279))),'ブロック表'!$A$4:$C$15,3,FALSE)</f>
        <v>#N/A</v>
      </c>
      <c r="G292" s="15" t="e">
        <f>VLOOKUP(IF('ブロック表'!$D$16=9,ゲームNo!$C279,IF('ブロック表'!$D$16=10,ゲームNo!$I279,IF('ブロック表'!$D$16=11,ゲームNo!$O279,ゲームNo!$U279))),'ブロック表'!$A$4:$N$15,7,FALSE)</f>
        <v>#N/A</v>
      </c>
      <c r="H292" s="82"/>
      <c r="I292" s="83"/>
      <c r="J292" s="84"/>
      <c r="K292" s="82"/>
      <c r="L292" s="21" t="e">
        <f>VLOOKUP(IF('ブロック表'!$D$16=9,ゲームNo!$D279,IF('ブロック表'!$D$16=10,ゲームNo!$J279,IF('ブロック表'!$D$16=11,ゲームNo!$P279,ゲームNo!$V279))),'ブロック表'!$A$4:$N$15,7,FALSE)</f>
        <v>#N/A</v>
      </c>
      <c r="M292" s="72" t="e">
        <f>VLOOKUP(IF('ブロック表'!$D$16=9,ゲームNo!$D279,IF('ブロック表'!$D$16=10,ゲームNo!$J279,IF('ブロック表'!$D$16=11,ゲームNo!$P279,ゲームNo!$V279))),'ブロック表'!$A$4:$C$15,3,FALSE)</f>
        <v>#N/A</v>
      </c>
    </row>
    <row r="293" spans="1:13" ht="13.5" customHeight="1">
      <c r="A293" s="98">
        <v>278</v>
      </c>
      <c r="B293" s="70">
        <v>56</v>
      </c>
      <c r="C293" s="132">
        <v>3</v>
      </c>
      <c r="D293" s="104" t="e">
        <f t="shared" si="8"/>
        <v>#N/A</v>
      </c>
      <c r="E293" s="104" t="e">
        <f t="shared" si="9"/>
        <v>#N/A</v>
      </c>
      <c r="F293" s="71" t="e">
        <f>VLOOKUP(IF('ブロック表'!$D$16=9,ゲームNo!$C280,IF('ブロック表'!$D$16=10,ゲームNo!$I280,IF('ブロック表'!$D$16=11,ゲームNo!$O280,ゲームNo!$U280))),'ブロック表'!$A$4:$C$15,3,FALSE)</f>
        <v>#N/A</v>
      </c>
      <c r="G293" s="15" t="e">
        <f>VLOOKUP(IF('ブロック表'!$D$16=9,ゲームNo!$C280,IF('ブロック表'!$D$16=10,ゲームNo!$I280,IF('ブロック表'!$D$16=11,ゲームNo!$O280,ゲームNo!$U280))),'ブロック表'!$A$4:$N$15,9,FALSE)</f>
        <v>#N/A</v>
      </c>
      <c r="H293" s="82"/>
      <c r="I293" s="83"/>
      <c r="J293" s="84"/>
      <c r="K293" s="82"/>
      <c r="L293" s="21" t="e">
        <f>VLOOKUP(IF('ブロック表'!$D$16=9,ゲームNo!$D280,IF('ブロック表'!$D$16=10,ゲームNo!$J280,IF('ブロック表'!$D$16=11,ゲームNo!$P280,ゲームNo!$V280))),'ブロック表'!$A$4:$N$15,9,FALSE)</f>
        <v>#N/A</v>
      </c>
      <c r="M293" s="72" t="e">
        <f>VLOOKUP(IF('ブロック表'!$D$16=9,ゲームNo!$D280,IF('ブロック表'!$D$16=10,ゲームNo!$J280,IF('ブロック表'!$D$16=11,ゲームNo!$P280,ゲームNo!$V280))),'ブロック表'!$A$4:$C$15,3,FALSE)</f>
        <v>#N/A</v>
      </c>
    </row>
    <row r="294" spans="1:13" ht="13.5" customHeight="1">
      <c r="A294" s="98">
        <v>279</v>
      </c>
      <c r="B294" s="70">
        <v>56</v>
      </c>
      <c r="C294" s="132">
        <v>4</v>
      </c>
      <c r="D294" s="104" t="e">
        <f t="shared" si="8"/>
        <v>#N/A</v>
      </c>
      <c r="E294" s="104" t="e">
        <f t="shared" si="9"/>
        <v>#N/A</v>
      </c>
      <c r="F294" s="71" t="e">
        <f>VLOOKUP(IF('ブロック表'!$D$16=9,ゲームNo!$C281,IF('ブロック表'!$D$16=10,ゲームNo!$I281,IF('ブロック表'!$D$16=11,ゲームNo!$O281,ゲームNo!$U281))),'ブロック表'!$A$4:$C$15,3,FALSE)</f>
        <v>#N/A</v>
      </c>
      <c r="G294" s="15" t="e">
        <f>VLOOKUP(IF('ブロック表'!$D$16=9,ゲームNo!$C281,IF('ブロック表'!$D$16=10,ゲームNo!$I281,IF('ブロック表'!$D$16=11,ゲームNo!$O281,ゲームNo!$U281))),'ブロック表'!$A$4:$N$15,11,FALSE)</f>
        <v>#N/A</v>
      </c>
      <c r="H294" s="82"/>
      <c r="I294" s="83"/>
      <c r="J294" s="84"/>
      <c r="K294" s="82"/>
      <c r="L294" s="21" t="e">
        <f>VLOOKUP(IF('ブロック表'!$D$16=9,ゲームNo!$D281,IF('ブロック表'!$D$16=10,ゲームNo!$J281,IF('ブロック表'!$D$16=11,ゲームNo!$P281,ゲームNo!$V281))),'ブロック表'!$A$4:$N$15,11,FALSE)</f>
        <v>#N/A</v>
      </c>
      <c r="M294" s="72" t="e">
        <f>VLOOKUP(IF('ブロック表'!$D$16=9,ゲームNo!$D281,IF('ブロック表'!$D$16=10,ゲームNo!$J281,IF('ブロック表'!$D$16=11,ゲームNo!$P281,ゲームNo!$V281))),'ブロック表'!$A$4:$C$15,3,FALSE)</f>
        <v>#N/A</v>
      </c>
    </row>
    <row r="295" spans="1:13" ht="14.25" customHeight="1">
      <c r="A295" s="99">
        <v>280</v>
      </c>
      <c r="B295" s="73">
        <v>56</v>
      </c>
      <c r="C295" s="133">
        <v>5</v>
      </c>
      <c r="D295" s="105" t="e">
        <f t="shared" si="8"/>
        <v>#N/A</v>
      </c>
      <c r="E295" s="105" t="e">
        <f t="shared" si="9"/>
        <v>#N/A</v>
      </c>
      <c r="F295" s="74" t="e">
        <f>VLOOKUP(IF('ブロック表'!$D$16=9,ゲームNo!$C282,IF('ブロック表'!$D$16=10,ゲームNo!$I282,IF('ブロック表'!$D$16=11,ゲームNo!$O282,ゲームNo!$U282))),'ブロック表'!$A$4:$C$15,3,FALSE)</f>
        <v>#N/A</v>
      </c>
      <c r="G295" s="17" t="e">
        <f>VLOOKUP(IF('ブロック表'!$D$16=9,ゲームNo!$C282,IF('ブロック表'!$D$16=10,ゲームNo!$I282,IF('ブロック表'!$D$16=11,ゲームNo!$O282,ゲームNo!$U282))),'ブロック表'!$A$4:$N$15,13,FALSE)</f>
        <v>#N/A</v>
      </c>
      <c r="H295" s="85"/>
      <c r="I295" s="86"/>
      <c r="J295" s="87"/>
      <c r="K295" s="85"/>
      <c r="L295" s="22" t="e">
        <f>VLOOKUP(IF('ブロック表'!$D$16=9,ゲームNo!$D282,IF('ブロック表'!$D$16=10,ゲームNo!$J282,IF('ブロック表'!$D$16=11,ゲームNo!$P282,ゲームNo!$V282))),'ブロック表'!$A$4:$N$15,13,FALSE)</f>
        <v>#N/A</v>
      </c>
      <c r="M295" s="75" t="e">
        <f>VLOOKUP(IF('ブロック表'!$D$16=9,ゲームNo!$D282,IF('ブロック表'!$D$16=10,ゲームNo!$J282,IF('ブロック表'!$D$16=11,ゲームNo!$P282,ゲームNo!$V282))),'ブロック表'!$A$4:$C$15,3,FALSE)</f>
        <v>#N/A</v>
      </c>
    </row>
    <row r="296" spans="1:13" ht="13.5" customHeight="1">
      <c r="A296" s="97">
        <v>281</v>
      </c>
      <c r="B296" s="92">
        <v>57</v>
      </c>
      <c r="C296" s="131">
        <v>1</v>
      </c>
      <c r="D296" s="106" t="e">
        <f t="shared" si="8"/>
        <v>#N/A</v>
      </c>
      <c r="E296" s="106" t="e">
        <f t="shared" si="9"/>
        <v>#N/A</v>
      </c>
      <c r="F296" s="76" t="e">
        <f>VLOOKUP(IF('ブロック表'!$D$16=9,ゲームNo!$C283,IF('ブロック表'!$D$16=10,ゲームNo!$I283,IF('ブロック表'!$D$16=11,ゲームNo!$O283,ゲームNo!$U283))),'ブロック表'!$A$4:$C$15,3,FALSE)</f>
        <v>#N/A</v>
      </c>
      <c r="G296" s="19" t="e">
        <f>VLOOKUP(IF('ブロック表'!$D$16=9,ゲームNo!$C283,IF('ブロック表'!$D$16=10,ゲームNo!$I283,IF('ブロック表'!$D$16=11,ゲームNo!$O283,ゲームNo!$U283))),'ブロック表'!$A$4:$N$15,5,FALSE)</f>
        <v>#N/A</v>
      </c>
      <c r="H296" s="88"/>
      <c r="I296" s="89"/>
      <c r="J296" s="90"/>
      <c r="K296" s="88"/>
      <c r="L296" s="20" t="e">
        <f>VLOOKUP(IF('ブロック表'!$D$16=9,ゲームNo!$D283,IF('ブロック表'!$D$16=10,ゲームNo!$J283,IF('ブロック表'!$D$16=11,ゲームNo!$P283,ゲームNo!$V283))),'ブロック表'!$A$4:$N$15,5,FALSE)</f>
        <v>#N/A</v>
      </c>
      <c r="M296" s="93" t="e">
        <f>VLOOKUP(IF('ブロック表'!$D$16=9,ゲームNo!$D283,IF('ブロック表'!$D$16=10,ゲームNo!$J283,IF('ブロック表'!$D$16=11,ゲームNo!$P283,ゲームNo!$V283))),'ブロック表'!$A$4:$C$15,3,FALSE)</f>
        <v>#N/A</v>
      </c>
    </row>
    <row r="297" spans="1:13" ht="13.5" customHeight="1">
      <c r="A297" s="98">
        <v>282</v>
      </c>
      <c r="B297" s="70">
        <v>57</v>
      </c>
      <c r="C297" s="132">
        <v>2</v>
      </c>
      <c r="D297" s="104" t="e">
        <f t="shared" si="8"/>
        <v>#N/A</v>
      </c>
      <c r="E297" s="104" t="e">
        <f t="shared" si="9"/>
        <v>#N/A</v>
      </c>
      <c r="F297" s="71" t="e">
        <f>VLOOKUP(IF('ブロック表'!$D$16=9,ゲームNo!$C284,IF('ブロック表'!$D$16=10,ゲームNo!$I284,IF('ブロック表'!$D$16=11,ゲームNo!$O284,ゲームNo!$U284))),'ブロック表'!$A$4:$C$15,3,FALSE)</f>
        <v>#N/A</v>
      </c>
      <c r="G297" s="15" t="e">
        <f>VLOOKUP(IF('ブロック表'!$D$16=9,ゲームNo!$C284,IF('ブロック表'!$D$16=10,ゲームNo!$I284,IF('ブロック表'!$D$16=11,ゲームNo!$O284,ゲームNo!$U284))),'ブロック表'!$A$4:$N$15,7,FALSE)</f>
        <v>#N/A</v>
      </c>
      <c r="H297" s="82"/>
      <c r="I297" s="83"/>
      <c r="J297" s="84"/>
      <c r="K297" s="82"/>
      <c r="L297" s="21" t="e">
        <f>VLOOKUP(IF('ブロック表'!$D$16=9,ゲームNo!$D284,IF('ブロック表'!$D$16=10,ゲームNo!$J284,IF('ブロック表'!$D$16=11,ゲームNo!$P284,ゲームNo!$V284))),'ブロック表'!$A$4:$N$15,7,FALSE)</f>
        <v>#N/A</v>
      </c>
      <c r="M297" s="72" t="e">
        <f>VLOOKUP(IF('ブロック表'!$D$16=9,ゲームNo!$D284,IF('ブロック表'!$D$16=10,ゲームNo!$J284,IF('ブロック表'!$D$16=11,ゲームNo!$P284,ゲームNo!$V284))),'ブロック表'!$A$4:$C$15,3,FALSE)</f>
        <v>#N/A</v>
      </c>
    </row>
    <row r="298" spans="1:13" ht="13.5" customHeight="1">
      <c r="A298" s="98">
        <v>283</v>
      </c>
      <c r="B298" s="70">
        <v>57</v>
      </c>
      <c r="C298" s="132">
        <v>3</v>
      </c>
      <c r="D298" s="104" t="e">
        <f t="shared" si="8"/>
        <v>#N/A</v>
      </c>
      <c r="E298" s="104" t="e">
        <f t="shared" si="9"/>
        <v>#N/A</v>
      </c>
      <c r="F298" s="71" t="e">
        <f>VLOOKUP(IF('ブロック表'!$D$16=9,ゲームNo!$C285,IF('ブロック表'!$D$16=10,ゲームNo!$I285,IF('ブロック表'!$D$16=11,ゲームNo!$O285,ゲームNo!$U285))),'ブロック表'!$A$4:$C$15,3,FALSE)</f>
        <v>#N/A</v>
      </c>
      <c r="G298" s="15" t="e">
        <f>VLOOKUP(IF('ブロック表'!$D$16=9,ゲームNo!$C285,IF('ブロック表'!$D$16=10,ゲームNo!$I285,IF('ブロック表'!$D$16=11,ゲームNo!$O285,ゲームNo!$U285))),'ブロック表'!$A$4:$N$15,9,FALSE)</f>
        <v>#N/A</v>
      </c>
      <c r="H298" s="82"/>
      <c r="I298" s="83"/>
      <c r="J298" s="84"/>
      <c r="K298" s="82"/>
      <c r="L298" s="21" t="e">
        <f>VLOOKUP(IF('ブロック表'!$D$16=9,ゲームNo!$D285,IF('ブロック表'!$D$16=10,ゲームNo!$J285,IF('ブロック表'!$D$16=11,ゲームNo!$P285,ゲームNo!$V285))),'ブロック表'!$A$4:$N$15,9,FALSE)</f>
        <v>#N/A</v>
      </c>
      <c r="M298" s="72" t="e">
        <f>VLOOKUP(IF('ブロック表'!$D$16=9,ゲームNo!$D285,IF('ブロック表'!$D$16=10,ゲームNo!$J285,IF('ブロック表'!$D$16=11,ゲームNo!$P285,ゲームNo!$V285))),'ブロック表'!$A$4:$C$15,3,FALSE)</f>
        <v>#N/A</v>
      </c>
    </row>
    <row r="299" spans="1:13" ht="13.5" customHeight="1">
      <c r="A299" s="98">
        <v>284</v>
      </c>
      <c r="B299" s="70">
        <v>57</v>
      </c>
      <c r="C299" s="132">
        <v>4</v>
      </c>
      <c r="D299" s="104" t="e">
        <f t="shared" si="8"/>
        <v>#N/A</v>
      </c>
      <c r="E299" s="104" t="e">
        <f t="shared" si="9"/>
        <v>#N/A</v>
      </c>
      <c r="F299" s="71" t="e">
        <f>VLOOKUP(IF('ブロック表'!$D$16=9,ゲームNo!$C286,IF('ブロック表'!$D$16=10,ゲームNo!$I286,IF('ブロック表'!$D$16=11,ゲームNo!$O286,ゲームNo!$U286))),'ブロック表'!$A$4:$C$15,3,FALSE)</f>
        <v>#N/A</v>
      </c>
      <c r="G299" s="15" t="e">
        <f>VLOOKUP(IF('ブロック表'!$D$16=9,ゲームNo!$C286,IF('ブロック表'!$D$16=10,ゲームNo!$I286,IF('ブロック表'!$D$16=11,ゲームNo!$O286,ゲームNo!$U286))),'ブロック表'!$A$4:$N$15,11,FALSE)</f>
        <v>#N/A</v>
      </c>
      <c r="H299" s="82"/>
      <c r="I299" s="83"/>
      <c r="J299" s="84"/>
      <c r="K299" s="82"/>
      <c r="L299" s="21" t="e">
        <f>VLOOKUP(IF('ブロック表'!$D$16=9,ゲームNo!$D286,IF('ブロック表'!$D$16=10,ゲームNo!$J286,IF('ブロック表'!$D$16=11,ゲームNo!$P286,ゲームNo!$V286))),'ブロック表'!$A$4:$N$15,11,FALSE)</f>
        <v>#N/A</v>
      </c>
      <c r="M299" s="72" t="e">
        <f>VLOOKUP(IF('ブロック表'!$D$16=9,ゲームNo!$D286,IF('ブロック表'!$D$16=10,ゲームNo!$J286,IF('ブロック表'!$D$16=11,ゲームNo!$P286,ゲームNo!$V286))),'ブロック表'!$A$4:$C$15,3,FALSE)</f>
        <v>#N/A</v>
      </c>
    </row>
    <row r="300" spans="1:13" ht="14.25" customHeight="1">
      <c r="A300" s="99">
        <v>285</v>
      </c>
      <c r="B300" s="73">
        <v>5</v>
      </c>
      <c r="C300" s="133">
        <v>5</v>
      </c>
      <c r="D300" s="105" t="e">
        <f t="shared" si="8"/>
        <v>#N/A</v>
      </c>
      <c r="E300" s="105" t="e">
        <f t="shared" si="9"/>
        <v>#N/A</v>
      </c>
      <c r="F300" s="74" t="e">
        <f>VLOOKUP(IF('ブロック表'!$D$16=9,ゲームNo!$C287,IF('ブロック表'!$D$16=10,ゲームNo!$I287,IF('ブロック表'!$D$16=11,ゲームNo!$O287,ゲームNo!$U287))),'ブロック表'!$A$4:$C$15,3,FALSE)</f>
        <v>#N/A</v>
      </c>
      <c r="G300" s="17" t="e">
        <f>VLOOKUP(IF('ブロック表'!$D$16=9,ゲームNo!$C287,IF('ブロック表'!$D$16=10,ゲームNo!$I287,IF('ブロック表'!$D$16=11,ゲームNo!$O287,ゲームNo!$U287))),'ブロック表'!$A$4:$N$15,13,FALSE)</f>
        <v>#N/A</v>
      </c>
      <c r="H300" s="85"/>
      <c r="I300" s="86"/>
      <c r="J300" s="87"/>
      <c r="K300" s="85"/>
      <c r="L300" s="22" t="e">
        <f>VLOOKUP(IF('ブロック表'!$D$16=9,ゲームNo!$D287,IF('ブロック表'!$D$16=10,ゲームNo!$J287,IF('ブロック表'!$D$16=11,ゲームNo!$P287,ゲームNo!$V287))),'ブロック表'!$A$4:$N$15,13,FALSE)</f>
        <v>#N/A</v>
      </c>
      <c r="M300" s="75" t="e">
        <f>VLOOKUP(IF('ブロック表'!$D$16=9,ゲームNo!$D287,IF('ブロック表'!$D$16=10,ゲームNo!$J287,IF('ブロック表'!$D$16=11,ゲームNo!$P287,ゲームNo!$V287))),'ブロック表'!$A$4:$C$15,3,FALSE)</f>
        <v>#N/A</v>
      </c>
    </row>
    <row r="301" spans="1:13" ht="13.5" customHeight="1">
      <c r="A301" s="97">
        <v>286</v>
      </c>
      <c r="B301" s="92">
        <v>58</v>
      </c>
      <c r="C301" s="131">
        <v>1</v>
      </c>
      <c r="D301" s="106" t="e">
        <f t="shared" si="8"/>
        <v>#N/A</v>
      </c>
      <c r="E301" s="106" t="e">
        <f t="shared" si="9"/>
        <v>#N/A</v>
      </c>
      <c r="F301" s="76" t="e">
        <f>VLOOKUP(IF('ブロック表'!$D$16=9,ゲームNo!$C288,IF('ブロック表'!$D$16=10,ゲームNo!$I288,IF('ブロック表'!$D$16=11,ゲームNo!$O288,ゲームNo!$U288))),'ブロック表'!$A$4:$C$15,3,FALSE)</f>
        <v>#N/A</v>
      </c>
      <c r="G301" s="19" t="e">
        <f>VLOOKUP(IF('ブロック表'!$D$16=9,ゲームNo!$C288,IF('ブロック表'!$D$16=10,ゲームNo!$I288,IF('ブロック表'!$D$16=11,ゲームNo!$O288,ゲームNo!$U288))),'ブロック表'!$A$4:$N$15,5,FALSE)</f>
        <v>#N/A</v>
      </c>
      <c r="H301" s="88"/>
      <c r="I301" s="89"/>
      <c r="J301" s="90"/>
      <c r="K301" s="88"/>
      <c r="L301" s="20" t="e">
        <f>VLOOKUP(IF('ブロック表'!$D$16=9,ゲームNo!$D288,IF('ブロック表'!$D$16=10,ゲームNo!$J288,IF('ブロック表'!$D$16=11,ゲームNo!$P288,ゲームNo!$V288))),'ブロック表'!$A$4:$N$15,5,FALSE)</f>
        <v>#N/A</v>
      </c>
      <c r="M301" s="93" t="e">
        <f>VLOOKUP(IF('ブロック表'!$D$16=9,ゲームNo!$D288,IF('ブロック表'!$D$16=10,ゲームNo!$J288,IF('ブロック表'!$D$16=11,ゲームNo!$P288,ゲームNo!$V288))),'ブロック表'!$A$4:$C$15,3,FALSE)</f>
        <v>#N/A</v>
      </c>
    </row>
    <row r="302" spans="1:13" ht="13.5" customHeight="1">
      <c r="A302" s="98">
        <v>287</v>
      </c>
      <c r="B302" s="70">
        <v>58</v>
      </c>
      <c r="C302" s="132">
        <v>2</v>
      </c>
      <c r="D302" s="104" t="e">
        <f t="shared" si="8"/>
        <v>#N/A</v>
      </c>
      <c r="E302" s="104" t="e">
        <f t="shared" si="9"/>
        <v>#N/A</v>
      </c>
      <c r="F302" s="71" t="e">
        <f>VLOOKUP(IF('ブロック表'!$D$16=9,ゲームNo!$C289,IF('ブロック表'!$D$16=10,ゲームNo!$I289,IF('ブロック表'!$D$16=11,ゲームNo!$O289,ゲームNo!$U289))),'ブロック表'!$A$4:$C$15,3,FALSE)</f>
        <v>#N/A</v>
      </c>
      <c r="G302" s="15" t="e">
        <f>VLOOKUP(IF('ブロック表'!$D$16=9,ゲームNo!$C289,IF('ブロック表'!$D$16=10,ゲームNo!$I289,IF('ブロック表'!$D$16=11,ゲームNo!$O289,ゲームNo!$U289))),'ブロック表'!$A$4:$N$15,7,FALSE)</f>
        <v>#N/A</v>
      </c>
      <c r="H302" s="82"/>
      <c r="I302" s="83"/>
      <c r="J302" s="84"/>
      <c r="K302" s="82"/>
      <c r="L302" s="21" t="e">
        <f>VLOOKUP(IF('ブロック表'!$D$16=9,ゲームNo!$D289,IF('ブロック表'!$D$16=10,ゲームNo!$J289,IF('ブロック表'!$D$16=11,ゲームNo!$P289,ゲームNo!$V289))),'ブロック表'!$A$4:$N$15,7,FALSE)</f>
        <v>#N/A</v>
      </c>
      <c r="M302" s="72" t="e">
        <f>VLOOKUP(IF('ブロック表'!$D$16=9,ゲームNo!$D289,IF('ブロック表'!$D$16=10,ゲームNo!$J289,IF('ブロック表'!$D$16=11,ゲームNo!$P289,ゲームNo!$V289))),'ブロック表'!$A$4:$C$15,3,FALSE)</f>
        <v>#N/A</v>
      </c>
    </row>
    <row r="303" spans="1:13" ht="13.5" customHeight="1">
      <c r="A303" s="98">
        <v>288</v>
      </c>
      <c r="B303" s="70">
        <v>58</v>
      </c>
      <c r="C303" s="132">
        <v>3</v>
      </c>
      <c r="D303" s="104" t="e">
        <f t="shared" si="8"/>
        <v>#N/A</v>
      </c>
      <c r="E303" s="104" t="e">
        <f t="shared" si="9"/>
        <v>#N/A</v>
      </c>
      <c r="F303" s="71" t="e">
        <f>VLOOKUP(IF('ブロック表'!$D$16=9,ゲームNo!$C290,IF('ブロック表'!$D$16=10,ゲームNo!$I290,IF('ブロック表'!$D$16=11,ゲームNo!$O290,ゲームNo!$U290))),'ブロック表'!$A$4:$C$15,3,FALSE)</f>
        <v>#N/A</v>
      </c>
      <c r="G303" s="15" t="e">
        <f>VLOOKUP(IF('ブロック表'!$D$16=9,ゲームNo!$C290,IF('ブロック表'!$D$16=10,ゲームNo!$I290,IF('ブロック表'!$D$16=11,ゲームNo!$O290,ゲームNo!$U290))),'ブロック表'!$A$4:$N$15,9,FALSE)</f>
        <v>#N/A</v>
      </c>
      <c r="H303" s="82"/>
      <c r="I303" s="83"/>
      <c r="J303" s="84"/>
      <c r="K303" s="82"/>
      <c r="L303" s="21" t="e">
        <f>VLOOKUP(IF('ブロック表'!$D$16=9,ゲームNo!$D290,IF('ブロック表'!$D$16=10,ゲームNo!$J290,IF('ブロック表'!$D$16=11,ゲームNo!$P290,ゲームNo!$V290))),'ブロック表'!$A$4:$N$15,9,FALSE)</f>
        <v>#N/A</v>
      </c>
      <c r="M303" s="72" t="e">
        <f>VLOOKUP(IF('ブロック表'!$D$16=9,ゲームNo!$D290,IF('ブロック表'!$D$16=10,ゲームNo!$J290,IF('ブロック表'!$D$16=11,ゲームNo!$P290,ゲームNo!$V290))),'ブロック表'!$A$4:$C$15,3,FALSE)</f>
        <v>#N/A</v>
      </c>
    </row>
    <row r="304" spans="1:13" ht="13.5" customHeight="1">
      <c r="A304" s="98">
        <v>289</v>
      </c>
      <c r="B304" s="70">
        <v>58</v>
      </c>
      <c r="C304" s="132">
        <v>4</v>
      </c>
      <c r="D304" s="104" t="e">
        <f t="shared" si="8"/>
        <v>#N/A</v>
      </c>
      <c r="E304" s="104" t="e">
        <f t="shared" si="9"/>
        <v>#N/A</v>
      </c>
      <c r="F304" s="71" t="e">
        <f>VLOOKUP(IF('ブロック表'!$D$16=9,ゲームNo!$C291,IF('ブロック表'!$D$16=10,ゲームNo!$I291,IF('ブロック表'!$D$16=11,ゲームNo!$O291,ゲームNo!$U291))),'ブロック表'!$A$4:$C$15,3,FALSE)</f>
        <v>#N/A</v>
      </c>
      <c r="G304" s="15" t="e">
        <f>VLOOKUP(IF('ブロック表'!$D$16=9,ゲームNo!$C291,IF('ブロック表'!$D$16=10,ゲームNo!$I291,IF('ブロック表'!$D$16=11,ゲームNo!$O291,ゲームNo!$U291))),'ブロック表'!$A$4:$N$15,11,FALSE)</f>
        <v>#N/A</v>
      </c>
      <c r="H304" s="82"/>
      <c r="I304" s="83"/>
      <c r="J304" s="84"/>
      <c r="K304" s="82"/>
      <c r="L304" s="21" t="e">
        <f>VLOOKUP(IF('ブロック表'!$D$16=9,ゲームNo!$D291,IF('ブロック表'!$D$16=10,ゲームNo!$J291,IF('ブロック表'!$D$16=11,ゲームNo!$P291,ゲームNo!$V291))),'ブロック表'!$A$4:$N$15,11,FALSE)</f>
        <v>#N/A</v>
      </c>
      <c r="M304" s="72" t="e">
        <f>VLOOKUP(IF('ブロック表'!$D$16=9,ゲームNo!$D291,IF('ブロック表'!$D$16=10,ゲームNo!$J291,IF('ブロック表'!$D$16=11,ゲームNo!$P291,ゲームNo!$V291))),'ブロック表'!$A$4:$C$15,3,FALSE)</f>
        <v>#N/A</v>
      </c>
    </row>
    <row r="305" spans="1:13" ht="14.25" customHeight="1">
      <c r="A305" s="99">
        <v>290</v>
      </c>
      <c r="B305" s="73">
        <v>58</v>
      </c>
      <c r="C305" s="133">
        <v>5</v>
      </c>
      <c r="D305" s="105" t="e">
        <f t="shared" si="8"/>
        <v>#N/A</v>
      </c>
      <c r="E305" s="105" t="e">
        <f t="shared" si="9"/>
        <v>#N/A</v>
      </c>
      <c r="F305" s="74" t="e">
        <f>VLOOKUP(IF('ブロック表'!$D$16=9,ゲームNo!$C292,IF('ブロック表'!$D$16=10,ゲームNo!$I292,IF('ブロック表'!$D$16=11,ゲームNo!$O292,ゲームNo!$U292))),'ブロック表'!$A$4:$C$15,3,FALSE)</f>
        <v>#N/A</v>
      </c>
      <c r="G305" s="17" t="e">
        <f>VLOOKUP(IF('ブロック表'!$D$16=9,ゲームNo!$C292,IF('ブロック表'!$D$16=10,ゲームNo!$I292,IF('ブロック表'!$D$16=11,ゲームNo!$O292,ゲームNo!$U292))),'ブロック表'!$A$4:$N$15,13,FALSE)</f>
        <v>#N/A</v>
      </c>
      <c r="H305" s="85"/>
      <c r="I305" s="86"/>
      <c r="J305" s="87"/>
      <c r="K305" s="85"/>
      <c r="L305" s="22" t="e">
        <f>VLOOKUP(IF('ブロック表'!$D$16=9,ゲームNo!$D292,IF('ブロック表'!$D$16=10,ゲームNo!$J292,IF('ブロック表'!$D$16=11,ゲームNo!$P292,ゲームNo!$V292))),'ブロック表'!$A$4:$N$15,13,FALSE)</f>
        <v>#N/A</v>
      </c>
      <c r="M305" s="75" t="e">
        <f>VLOOKUP(IF('ブロック表'!$D$16=9,ゲームNo!$D292,IF('ブロック表'!$D$16=10,ゲームNo!$J292,IF('ブロック表'!$D$16=11,ゲームNo!$P292,ゲームNo!$V292))),'ブロック表'!$A$4:$C$15,3,FALSE)</f>
        <v>#N/A</v>
      </c>
    </row>
    <row r="306" spans="1:13" ht="13.5" customHeight="1">
      <c r="A306" s="97">
        <v>291</v>
      </c>
      <c r="B306" s="92">
        <v>59</v>
      </c>
      <c r="C306" s="131">
        <v>1</v>
      </c>
      <c r="D306" s="106" t="e">
        <f t="shared" si="8"/>
        <v>#N/A</v>
      </c>
      <c r="E306" s="106" t="e">
        <f t="shared" si="9"/>
        <v>#N/A</v>
      </c>
      <c r="F306" s="76" t="e">
        <f>VLOOKUP(IF('ブロック表'!$D$16=9,ゲームNo!$C293,IF('ブロック表'!$D$16=10,ゲームNo!$I293,IF('ブロック表'!$D$16=11,ゲームNo!$O293,ゲームNo!$U293))),'ブロック表'!$A$4:$C$15,3,FALSE)</f>
        <v>#N/A</v>
      </c>
      <c r="G306" s="19" t="e">
        <f>VLOOKUP(IF('ブロック表'!$D$16=9,ゲームNo!$C293,IF('ブロック表'!$D$16=10,ゲームNo!$I293,IF('ブロック表'!$D$16=11,ゲームNo!$O293,ゲームNo!$U293))),'ブロック表'!$A$4:$N$15,5,FALSE)</f>
        <v>#N/A</v>
      </c>
      <c r="H306" s="88"/>
      <c r="I306" s="89"/>
      <c r="J306" s="90"/>
      <c r="K306" s="88"/>
      <c r="L306" s="20" t="e">
        <f>VLOOKUP(IF('ブロック表'!$D$16=9,ゲームNo!$D293,IF('ブロック表'!$D$16=10,ゲームNo!$J293,IF('ブロック表'!$D$16=11,ゲームNo!$P293,ゲームNo!$V293))),'ブロック表'!$A$4:$N$15,5,FALSE)</f>
        <v>#N/A</v>
      </c>
      <c r="M306" s="93" t="e">
        <f>VLOOKUP(IF('ブロック表'!$D$16=9,ゲームNo!$D293,IF('ブロック表'!$D$16=10,ゲームNo!$J293,IF('ブロック表'!$D$16=11,ゲームNo!$P293,ゲームNo!$V293))),'ブロック表'!$A$4:$C$15,3,FALSE)</f>
        <v>#N/A</v>
      </c>
    </row>
    <row r="307" spans="1:13" ht="13.5" customHeight="1">
      <c r="A307" s="98">
        <v>292</v>
      </c>
      <c r="B307" s="70">
        <v>59</v>
      </c>
      <c r="C307" s="132">
        <v>2</v>
      </c>
      <c r="D307" s="104" t="e">
        <f t="shared" si="8"/>
        <v>#N/A</v>
      </c>
      <c r="E307" s="104" t="e">
        <f t="shared" si="9"/>
        <v>#N/A</v>
      </c>
      <c r="F307" s="71" t="e">
        <f>VLOOKUP(IF('ブロック表'!$D$16=9,ゲームNo!$C294,IF('ブロック表'!$D$16=10,ゲームNo!$I294,IF('ブロック表'!$D$16=11,ゲームNo!$O294,ゲームNo!$U294))),'ブロック表'!$A$4:$C$15,3,FALSE)</f>
        <v>#N/A</v>
      </c>
      <c r="G307" s="15" t="e">
        <f>VLOOKUP(IF('ブロック表'!$D$16=9,ゲームNo!$C294,IF('ブロック表'!$D$16=10,ゲームNo!$I294,IF('ブロック表'!$D$16=11,ゲームNo!$O294,ゲームNo!$U294))),'ブロック表'!$A$4:$N$15,7,FALSE)</f>
        <v>#N/A</v>
      </c>
      <c r="H307" s="82"/>
      <c r="I307" s="83"/>
      <c r="J307" s="84"/>
      <c r="K307" s="82"/>
      <c r="L307" s="21" t="e">
        <f>VLOOKUP(IF('ブロック表'!$D$16=9,ゲームNo!$D294,IF('ブロック表'!$D$16=10,ゲームNo!$J294,IF('ブロック表'!$D$16=11,ゲームNo!$P294,ゲームNo!$V294))),'ブロック表'!$A$4:$N$15,7,FALSE)</f>
        <v>#N/A</v>
      </c>
      <c r="M307" s="72" t="e">
        <f>VLOOKUP(IF('ブロック表'!$D$16=9,ゲームNo!$D294,IF('ブロック表'!$D$16=10,ゲームNo!$J294,IF('ブロック表'!$D$16=11,ゲームNo!$P294,ゲームNo!$V294))),'ブロック表'!$A$4:$C$15,3,FALSE)</f>
        <v>#N/A</v>
      </c>
    </row>
    <row r="308" spans="1:13" ht="13.5" customHeight="1">
      <c r="A308" s="98">
        <v>293</v>
      </c>
      <c r="B308" s="70">
        <v>59</v>
      </c>
      <c r="C308" s="132">
        <v>3</v>
      </c>
      <c r="D308" s="104" t="e">
        <f t="shared" si="8"/>
        <v>#N/A</v>
      </c>
      <c r="E308" s="104" t="e">
        <f t="shared" si="9"/>
        <v>#N/A</v>
      </c>
      <c r="F308" s="71" t="e">
        <f>VLOOKUP(IF('ブロック表'!$D$16=9,ゲームNo!$C295,IF('ブロック表'!$D$16=10,ゲームNo!$I295,IF('ブロック表'!$D$16=11,ゲームNo!$O295,ゲームNo!$U295))),'ブロック表'!$A$4:$C$15,3,FALSE)</f>
        <v>#N/A</v>
      </c>
      <c r="G308" s="15" t="e">
        <f>VLOOKUP(IF('ブロック表'!$D$16=9,ゲームNo!$C295,IF('ブロック表'!$D$16=10,ゲームNo!$I295,IF('ブロック表'!$D$16=11,ゲームNo!$O295,ゲームNo!$U295))),'ブロック表'!$A$4:$N$15,9,FALSE)</f>
        <v>#N/A</v>
      </c>
      <c r="H308" s="82"/>
      <c r="I308" s="83"/>
      <c r="J308" s="84"/>
      <c r="K308" s="82"/>
      <c r="L308" s="21" t="e">
        <f>VLOOKUP(IF('ブロック表'!$D$16=9,ゲームNo!$D295,IF('ブロック表'!$D$16=10,ゲームNo!$J295,IF('ブロック表'!$D$16=11,ゲームNo!$P295,ゲームNo!$V295))),'ブロック表'!$A$4:$N$15,9,FALSE)</f>
        <v>#N/A</v>
      </c>
      <c r="M308" s="72" t="e">
        <f>VLOOKUP(IF('ブロック表'!$D$16=9,ゲームNo!$D295,IF('ブロック表'!$D$16=10,ゲームNo!$J295,IF('ブロック表'!$D$16=11,ゲームNo!$P295,ゲームNo!$V295))),'ブロック表'!$A$4:$C$15,3,FALSE)</f>
        <v>#N/A</v>
      </c>
    </row>
    <row r="309" spans="1:13" ht="13.5" customHeight="1">
      <c r="A309" s="98">
        <v>294</v>
      </c>
      <c r="B309" s="70">
        <v>59</v>
      </c>
      <c r="C309" s="132">
        <v>4</v>
      </c>
      <c r="D309" s="104" t="e">
        <f t="shared" si="8"/>
        <v>#N/A</v>
      </c>
      <c r="E309" s="104" t="e">
        <f t="shared" si="9"/>
        <v>#N/A</v>
      </c>
      <c r="F309" s="71" t="e">
        <f>VLOOKUP(IF('ブロック表'!$D$16=9,ゲームNo!$C296,IF('ブロック表'!$D$16=10,ゲームNo!$I296,IF('ブロック表'!$D$16=11,ゲームNo!$O296,ゲームNo!$U296))),'ブロック表'!$A$4:$C$15,3,FALSE)</f>
        <v>#N/A</v>
      </c>
      <c r="G309" s="15" t="e">
        <f>VLOOKUP(IF('ブロック表'!$D$16=9,ゲームNo!$C296,IF('ブロック表'!$D$16=10,ゲームNo!$I296,IF('ブロック表'!$D$16=11,ゲームNo!$O296,ゲームNo!$U296))),'ブロック表'!$A$4:$N$15,11,FALSE)</f>
        <v>#N/A</v>
      </c>
      <c r="H309" s="82"/>
      <c r="I309" s="83"/>
      <c r="J309" s="84"/>
      <c r="K309" s="82"/>
      <c r="L309" s="21" t="e">
        <f>VLOOKUP(IF('ブロック表'!$D$16=9,ゲームNo!$D296,IF('ブロック表'!$D$16=10,ゲームNo!$J296,IF('ブロック表'!$D$16=11,ゲームNo!$P296,ゲームNo!$V296))),'ブロック表'!$A$4:$N$15,11,FALSE)</f>
        <v>#N/A</v>
      </c>
      <c r="M309" s="72" t="e">
        <f>VLOOKUP(IF('ブロック表'!$D$16=9,ゲームNo!$D296,IF('ブロック表'!$D$16=10,ゲームNo!$J296,IF('ブロック表'!$D$16=11,ゲームNo!$P296,ゲームNo!$V296))),'ブロック表'!$A$4:$C$15,3,FALSE)</f>
        <v>#N/A</v>
      </c>
    </row>
    <row r="310" spans="1:13" ht="14.25" customHeight="1">
      <c r="A310" s="99">
        <v>295</v>
      </c>
      <c r="B310" s="73">
        <v>59</v>
      </c>
      <c r="C310" s="133">
        <v>5</v>
      </c>
      <c r="D310" s="105" t="e">
        <f t="shared" si="8"/>
        <v>#N/A</v>
      </c>
      <c r="E310" s="105" t="e">
        <f t="shared" si="9"/>
        <v>#N/A</v>
      </c>
      <c r="F310" s="74" t="e">
        <f>VLOOKUP(IF('ブロック表'!$D$16=9,ゲームNo!$C297,IF('ブロック表'!$D$16=10,ゲームNo!$I297,IF('ブロック表'!$D$16=11,ゲームNo!$O297,ゲームNo!$U297))),'ブロック表'!$A$4:$C$15,3,FALSE)</f>
        <v>#N/A</v>
      </c>
      <c r="G310" s="17" t="e">
        <f>VLOOKUP(IF('ブロック表'!$D$16=9,ゲームNo!$C297,IF('ブロック表'!$D$16=10,ゲームNo!$I297,IF('ブロック表'!$D$16=11,ゲームNo!$O297,ゲームNo!$U297))),'ブロック表'!$A$4:$N$15,13,FALSE)</f>
        <v>#N/A</v>
      </c>
      <c r="H310" s="85"/>
      <c r="I310" s="86"/>
      <c r="J310" s="87"/>
      <c r="K310" s="85"/>
      <c r="L310" s="22" t="e">
        <f>VLOOKUP(IF('ブロック表'!$D$16=9,ゲームNo!$D297,IF('ブロック表'!$D$16=10,ゲームNo!$J297,IF('ブロック表'!$D$16=11,ゲームNo!$P297,ゲームNo!$V297))),'ブロック表'!$A$4:$N$15,13,FALSE)</f>
        <v>#N/A</v>
      </c>
      <c r="M310" s="75" t="e">
        <f>VLOOKUP(IF('ブロック表'!$D$16=9,ゲームNo!$D297,IF('ブロック表'!$D$16=10,ゲームNo!$J297,IF('ブロック表'!$D$16=11,ゲームNo!$P297,ゲームNo!$V297))),'ブロック表'!$A$4:$C$15,3,FALSE)</f>
        <v>#N/A</v>
      </c>
    </row>
    <row r="311" spans="1:13" ht="13.5" customHeight="1">
      <c r="A311" s="97">
        <v>296</v>
      </c>
      <c r="B311" s="92">
        <v>60</v>
      </c>
      <c r="C311" s="131">
        <v>1</v>
      </c>
      <c r="D311" s="106" t="e">
        <f t="shared" si="8"/>
        <v>#N/A</v>
      </c>
      <c r="E311" s="106" t="e">
        <f t="shared" si="9"/>
        <v>#N/A</v>
      </c>
      <c r="F311" s="76" t="e">
        <f>VLOOKUP(IF('ブロック表'!$D$16=9,ゲームNo!$C298,IF('ブロック表'!$D$16=10,ゲームNo!$I298,IF('ブロック表'!$D$16=11,ゲームNo!$O298,ゲームNo!$U298))),'ブロック表'!$A$4:$C$15,3,FALSE)</f>
        <v>#N/A</v>
      </c>
      <c r="G311" s="19" t="e">
        <f>VLOOKUP(IF('ブロック表'!$D$16=9,ゲームNo!$C298,IF('ブロック表'!$D$16=10,ゲームNo!$I298,IF('ブロック表'!$D$16=11,ゲームNo!$O298,ゲームNo!$U298))),'ブロック表'!$A$4:$N$15,5,FALSE)</f>
        <v>#N/A</v>
      </c>
      <c r="H311" s="88"/>
      <c r="I311" s="89"/>
      <c r="J311" s="90"/>
      <c r="K311" s="88"/>
      <c r="L311" s="20" t="e">
        <f>VLOOKUP(IF('ブロック表'!$D$16=9,ゲームNo!$D298,IF('ブロック表'!$D$16=10,ゲームNo!$J298,IF('ブロック表'!$D$16=11,ゲームNo!$P298,ゲームNo!$V298))),'ブロック表'!$A$4:$N$15,5,FALSE)</f>
        <v>#N/A</v>
      </c>
      <c r="M311" s="93" t="e">
        <f>VLOOKUP(IF('ブロック表'!$D$16=9,ゲームNo!$D298,IF('ブロック表'!$D$16=10,ゲームNo!$J298,IF('ブロック表'!$D$16=11,ゲームNo!$P298,ゲームNo!$V298))),'ブロック表'!$A$4:$C$15,3,FALSE)</f>
        <v>#N/A</v>
      </c>
    </row>
    <row r="312" spans="1:13" ht="13.5" customHeight="1">
      <c r="A312" s="98">
        <v>297</v>
      </c>
      <c r="B312" s="70">
        <v>60</v>
      </c>
      <c r="C312" s="132">
        <v>2</v>
      </c>
      <c r="D312" s="104" t="e">
        <f t="shared" si="8"/>
        <v>#N/A</v>
      </c>
      <c r="E312" s="104" t="e">
        <f t="shared" si="9"/>
        <v>#N/A</v>
      </c>
      <c r="F312" s="71" t="e">
        <f>VLOOKUP(IF('ブロック表'!$D$16=9,ゲームNo!$C299,IF('ブロック表'!$D$16=10,ゲームNo!$I299,IF('ブロック表'!$D$16=11,ゲームNo!$O299,ゲームNo!$U299))),'ブロック表'!$A$4:$C$15,3,FALSE)</f>
        <v>#N/A</v>
      </c>
      <c r="G312" s="15" t="e">
        <f>VLOOKUP(IF('ブロック表'!$D$16=9,ゲームNo!$C299,IF('ブロック表'!$D$16=10,ゲームNo!$I299,IF('ブロック表'!$D$16=11,ゲームNo!$O299,ゲームNo!$U299))),'ブロック表'!$A$4:$N$15,7,FALSE)</f>
        <v>#N/A</v>
      </c>
      <c r="H312" s="82"/>
      <c r="I312" s="83"/>
      <c r="J312" s="84"/>
      <c r="K312" s="82"/>
      <c r="L312" s="21" t="e">
        <f>VLOOKUP(IF('ブロック表'!$D$16=9,ゲームNo!$D299,IF('ブロック表'!$D$16=10,ゲームNo!$J299,IF('ブロック表'!$D$16=11,ゲームNo!$P299,ゲームNo!$V299))),'ブロック表'!$A$4:$N$15,7,FALSE)</f>
        <v>#N/A</v>
      </c>
      <c r="M312" s="72" t="e">
        <f>VLOOKUP(IF('ブロック表'!$D$16=9,ゲームNo!$D299,IF('ブロック表'!$D$16=10,ゲームNo!$J299,IF('ブロック表'!$D$16=11,ゲームNo!$P299,ゲームNo!$V299))),'ブロック表'!$A$4:$C$15,3,FALSE)</f>
        <v>#N/A</v>
      </c>
    </row>
    <row r="313" spans="1:13" ht="13.5" customHeight="1">
      <c r="A313" s="98">
        <v>298</v>
      </c>
      <c r="B313" s="70">
        <v>60</v>
      </c>
      <c r="C313" s="132">
        <v>3</v>
      </c>
      <c r="D313" s="104" t="e">
        <f t="shared" si="8"/>
        <v>#N/A</v>
      </c>
      <c r="E313" s="104" t="e">
        <f t="shared" si="9"/>
        <v>#N/A</v>
      </c>
      <c r="F313" s="71" t="e">
        <f>VLOOKUP(IF('ブロック表'!$D$16=9,ゲームNo!$C300,IF('ブロック表'!$D$16=10,ゲームNo!$I300,IF('ブロック表'!$D$16=11,ゲームNo!$O300,ゲームNo!$U300))),'ブロック表'!$A$4:$C$15,3,FALSE)</f>
        <v>#N/A</v>
      </c>
      <c r="G313" s="15" t="e">
        <f>VLOOKUP(IF('ブロック表'!$D$16=9,ゲームNo!$C300,IF('ブロック表'!$D$16=10,ゲームNo!$I300,IF('ブロック表'!$D$16=11,ゲームNo!$O300,ゲームNo!$U300))),'ブロック表'!$A$4:$N$15,9,FALSE)</f>
        <v>#N/A</v>
      </c>
      <c r="H313" s="82"/>
      <c r="I313" s="83"/>
      <c r="J313" s="84"/>
      <c r="K313" s="82"/>
      <c r="L313" s="21" t="e">
        <f>VLOOKUP(IF('ブロック表'!$D$16=9,ゲームNo!$D300,IF('ブロック表'!$D$16=10,ゲームNo!$J300,IF('ブロック表'!$D$16=11,ゲームNo!$P300,ゲームNo!$V300))),'ブロック表'!$A$4:$N$15,9,FALSE)</f>
        <v>#N/A</v>
      </c>
      <c r="M313" s="72" t="e">
        <f>VLOOKUP(IF('ブロック表'!$D$16=9,ゲームNo!$D300,IF('ブロック表'!$D$16=10,ゲームNo!$J300,IF('ブロック表'!$D$16=11,ゲームNo!$P300,ゲームNo!$V300))),'ブロック表'!$A$4:$C$15,3,FALSE)</f>
        <v>#N/A</v>
      </c>
    </row>
    <row r="314" spans="1:13" ht="13.5" customHeight="1">
      <c r="A314" s="98">
        <v>299</v>
      </c>
      <c r="B314" s="70">
        <v>60</v>
      </c>
      <c r="C314" s="132">
        <v>4</v>
      </c>
      <c r="D314" s="104" t="e">
        <f t="shared" si="8"/>
        <v>#N/A</v>
      </c>
      <c r="E314" s="104" t="e">
        <f t="shared" si="9"/>
        <v>#N/A</v>
      </c>
      <c r="F314" s="71" t="e">
        <f>VLOOKUP(IF('ブロック表'!$D$16=9,ゲームNo!$C301,IF('ブロック表'!$D$16=10,ゲームNo!$I301,IF('ブロック表'!$D$16=11,ゲームNo!$O301,ゲームNo!$U301))),'ブロック表'!$A$4:$C$15,3,FALSE)</f>
        <v>#N/A</v>
      </c>
      <c r="G314" s="15" t="e">
        <f>VLOOKUP(IF('ブロック表'!$D$16=9,ゲームNo!$C301,IF('ブロック表'!$D$16=10,ゲームNo!$I301,IF('ブロック表'!$D$16=11,ゲームNo!$O301,ゲームNo!$U301))),'ブロック表'!$A$4:$N$15,11,FALSE)</f>
        <v>#N/A</v>
      </c>
      <c r="H314" s="82"/>
      <c r="I314" s="83"/>
      <c r="J314" s="84"/>
      <c r="K314" s="82"/>
      <c r="L314" s="21" t="e">
        <f>VLOOKUP(IF('ブロック表'!$D$16=9,ゲームNo!$D301,IF('ブロック表'!$D$16=10,ゲームNo!$J301,IF('ブロック表'!$D$16=11,ゲームNo!$P301,ゲームNo!$V301))),'ブロック表'!$A$4:$N$15,11,FALSE)</f>
        <v>#N/A</v>
      </c>
      <c r="M314" s="72" t="e">
        <f>VLOOKUP(IF('ブロック表'!$D$16=9,ゲームNo!$D301,IF('ブロック表'!$D$16=10,ゲームNo!$J301,IF('ブロック表'!$D$16=11,ゲームNo!$P301,ゲームNo!$V301))),'ブロック表'!$A$4:$C$15,3,FALSE)</f>
        <v>#N/A</v>
      </c>
    </row>
    <row r="315" spans="1:13" ht="14.25" customHeight="1">
      <c r="A315" s="99">
        <v>300</v>
      </c>
      <c r="B315" s="73">
        <v>60</v>
      </c>
      <c r="C315" s="133">
        <v>5</v>
      </c>
      <c r="D315" s="105" t="e">
        <f t="shared" si="8"/>
        <v>#N/A</v>
      </c>
      <c r="E315" s="105" t="e">
        <f t="shared" si="9"/>
        <v>#N/A</v>
      </c>
      <c r="F315" s="74" t="e">
        <f>VLOOKUP(IF('ブロック表'!$D$16=9,ゲームNo!$C302,IF('ブロック表'!$D$16=10,ゲームNo!$I302,IF('ブロック表'!$D$16=11,ゲームNo!$O302,ゲームNo!$U302))),'ブロック表'!$A$4:$C$15,3,FALSE)</f>
        <v>#N/A</v>
      </c>
      <c r="G315" s="17" t="e">
        <f>VLOOKUP(IF('ブロック表'!$D$16=9,ゲームNo!$C302,IF('ブロック表'!$D$16=10,ゲームNo!$I302,IF('ブロック表'!$D$16=11,ゲームNo!$O302,ゲームNo!$U302))),'ブロック表'!$A$4:$N$15,13,FALSE)</f>
        <v>#N/A</v>
      </c>
      <c r="H315" s="85"/>
      <c r="I315" s="86"/>
      <c r="J315" s="87"/>
      <c r="K315" s="85"/>
      <c r="L315" s="22" t="e">
        <f>VLOOKUP(IF('ブロック表'!$D$16=9,ゲームNo!$D302,IF('ブロック表'!$D$16=10,ゲームNo!$J302,IF('ブロック表'!$D$16=11,ゲームNo!$P302,ゲームNo!$V302))),'ブロック表'!$A$4:$N$15,13,FALSE)</f>
        <v>#N/A</v>
      </c>
      <c r="M315" s="75" t="e">
        <f>VLOOKUP(IF('ブロック表'!$D$16=9,ゲームNo!$D302,IF('ブロック表'!$D$16=10,ゲームNo!$J302,IF('ブロック表'!$D$16=11,ゲームNo!$P302,ゲームNo!$V302))),'ブロック表'!$A$4:$C$15,3,FALSE)</f>
        <v>#N/A</v>
      </c>
    </row>
    <row r="316" spans="1:13" ht="13.5" customHeight="1">
      <c r="A316" s="97">
        <v>301</v>
      </c>
      <c r="B316" s="92">
        <v>61</v>
      </c>
      <c r="C316" s="131">
        <v>1</v>
      </c>
      <c r="D316" s="106" t="e">
        <f t="shared" si="8"/>
        <v>#N/A</v>
      </c>
      <c r="E316" s="106" t="e">
        <f t="shared" si="9"/>
        <v>#N/A</v>
      </c>
      <c r="F316" s="76" t="e">
        <f>VLOOKUP(IF('ブロック表'!$D$16=9,ゲームNo!$C303,IF('ブロック表'!$D$16=10,ゲームNo!$I303,IF('ブロック表'!$D$16=11,ゲームNo!$O303,ゲームNo!$U303))),'ブロック表'!$A$4:$C$15,3,FALSE)</f>
        <v>#N/A</v>
      </c>
      <c r="G316" s="19" t="e">
        <f>VLOOKUP(IF('ブロック表'!$D$16=9,ゲームNo!$C303,IF('ブロック表'!$D$16=10,ゲームNo!$I303,IF('ブロック表'!$D$16=11,ゲームNo!$O303,ゲームNo!$U303))),'ブロック表'!$A$4:$N$15,5,FALSE)</f>
        <v>#N/A</v>
      </c>
      <c r="H316" s="88"/>
      <c r="I316" s="89"/>
      <c r="J316" s="90"/>
      <c r="K316" s="88"/>
      <c r="L316" s="20" t="e">
        <f>VLOOKUP(IF('ブロック表'!$D$16=9,ゲームNo!$D303,IF('ブロック表'!$D$16=10,ゲームNo!$J303,IF('ブロック表'!$D$16=11,ゲームNo!$P303,ゲームNo!$V303))),'ブロック表'!$A$4:$N$15,5,FALSE)</f>
        <v>#N/A</v>
      </c>
      <c r="M316" s="93" t="e">
        <f>VLOOKUP(IF('ブロック表'!$D$16=9,ゲームNo!$D303,IF('ブロック表'!$D$16=10,ゲームNo!$J303,IF('ブロック表'!$D$16=11,ゲームNo!$P303,ゲームNo!$V303))),'ブロック表'!$A$4:$C$15,3,FALSE)</f>
        <v>#N/A</v>
      </c>
    </row>
    <row r="317" spans="1:13" ht="13.5" customHeight="1">
      <c r="A317" s="98">
        <v>302</v>
      </c>
      <c r="B317" s="70">
        <v>61</v>
      </c>
      <c r="C317" s="132">
        <v>2</v>
      </c>
      <c r="D317" s="104" t="e">
        <f t="shared" si="8"/>
        <v>#N/A</v>
      </c>
      <c r="E317" s="104" t="e">
        <f t="shared" si="9"/>
        <v>#N/A</v>
      </c>
      <c r="F317" s="71" t="e">
        <f>VLOOKUP(IF('ブロック表'!$D$16=9,ゲームNo!$C304,IF('ブロック表'!$D$16=10,ゲームNo!$I304,IF('ブロック表'!$D$16=11,ゲームNo!$O304,ゲームNo!$U304))),'ブロック表'!$A$4:$C$15,3,FALSE)</f>
        <v>#N/A</v>
      </c>
      <c r="G317" s="15" t="e">
        <f>VLOOKUP(IF('ブロック表'!$D$16=9,ゲームNo!$C304,IF('ブロック表'!$D$16=10,ゲームNo!$I304,IF('ブロック表'!$D$16=11,ゲームNo!$O304,ゲームNo!$U304))),'ブロック表'!$A$4:$N$15,7,FALSE)</f>
        <v>#N/A</v>
      </c>
      <c r="H317" s="82"/>
      <c r="I317" s="83"/>
      <c r="J317" s="84"/>
      <c r="K317" s="82"/>
      <c r="L317" s="21" t="e">
        <f>VLOOKUP(IF('ブロック表'!$D$16=9,ゲームNo!$D304,IF('ブロック表'!$D$16=10,ゲームNo!$J304,IF('ブロック表'!$D$16=11,ゲームNo!$P304,ゲームNo!$V304))),'ブロック表'!$A$4:$N$15,7,FALSE)</f>
        <v>#N/A</v>
      </c>
      <c r="M317" s="72" t="e">
        <f>VLOOKUP(IF('ブロック表'!$D$16=9,ゲームNo!$D304,IF('ブロック表'!$D$16=10,ゲームNo!$J304,IF('ブロック表'!$D$16=11,ゲームNo!$P304,ゲームNo!$V304))),'ブロック表'!$A$4:$C$15,3,FALSE)</f>
        <v>#N/A</v>
      </c>
    </row>
    <row r="318" spans="1:13" ht="13.5" customHeight="1">
      <c r="A318" s="98">
        <v>303</v>
      </c>
      <c r="B318" s="70">
        <v>61</v>
      </c>
      <c r="C318" s="132">
        <v>3</v>
      </c>
      <c r="D318" s="104" t="e">
        <f t="shared" si="8"/>
        <v>#N/A</v>
      </c>
      <c r="E318" s="104" t="e">
        <f t="shared" si="9"/>
        <v>#N/A</v>
      </c>
      <c r="F318" s="71" t="e">
        <f>VLOOKUP(IF('ブロック表'!$D$16=9,ゲームNo!$C305,IF('ブロック表'!$D$16=10,ゲームNo!$I305,IF('ブロック表'!$D$16=11,ゲームNo!$O305,ゲームNo!$U305))),'ブロック表'!$A$4:$C$15,3,FALSE)</f>
        <v>#N/A</v>
      </c>
      <c r="G318" s="15" t="e">
        <f>VLOOKUP(IF('ブロック表'!$D$16=9,ゲームNo!$C305,IF('ブロック表'!$D$16=10,ゲームNo!$I305,IF('ブロック表'!$D$16=11,ゲームNo!$O305,ゲームNo!$U305))),'ブロック表'!$A$4:$N$15,9,FALSE)</f>
        <v>#N/A</v>
      </c>
      <c r="H318" s="82"/>
      <c r="I318" s="83"/>
      <c r="J318" s="84"/>
      <c r="K318" s="82"/>
      <c r="L318" s="21" t="e">
        <f>VLOOKUP(IF('ブロック表'!$D$16=9,ゲームNo!$D305,IF('ブロック表'!$D$16=10,ゲームNo!$J305,IF('ブロック表'!$D$16=11,ゲームNo!$P305,ゲームNo!$V305))),'ブロック表'!$A$4:$N$15,9,FALSE)</f>
        <v>#N/A</v>
      </c>
      <c r="M318" s="72" t="e">
        <f>VLOOKUP(IF('ブロック表'!$D$16=9,ゲームNo!$D305,IF('ブロック表'!$D$16=10,ゲームNo!$J305,IF('ブロック表'!$D$16=11,ゲームNo!$P305,ゲームNo!$V305))),'ブロック表'!$A$4:$C$15,3,FALSE)</f>
        <v>#N/A</v>
      </c>
    </row>
    <row r="319" spans="1:13" ht="13.5" customHeight="1">
      <c r="A319" s="98">
        <v>304</v>
      </c>
      <c r="B319" s="70">
        <v>61</v>
      </c>
      <c r="C319" s="132">
        <v>4</v>
      </c>
      <c r="D319" s="104" t="e">
        <f t="shared" si="8"/>
        <v>#N/A</v>
      </c>
      <c r="E319" s="104" t="e">
        <f t="shared" si="9"/>
        <v>#N/A</v>
      </c>
      <c r="F319" s="71" t="e">
        <f>VLOOKUP(IF('ブロック表'!$D$16=9,ゲームNo!$C306,IF('ブロック表'!$D$16=10,ゲームNo!$I306,IF('ブロック表'!$D$16=11,ゲームNo!$O306,ゲームNo!$U306))),'ブロック表'!$A$4:$C$15,3,FALSE)</f>
        <v>#N/A</v>
      </c>
      <c r="G319" s="15" t="e">
        <f>VLOOKUP(IF('ブロック表'!$D$16=9,ゲームNo!$C306,IF('ブロック表'!$D$16=10,ゲームNo!$I306,IF('ブロック表'!$D$16=11,ゲームNo!$O306,ゲームNo!$U306))),'ブロック表'!$A$4:$N$15,11,FALSE)</f>
        <v>#N/A</v>
      </c>
      <c r="H319" s="82"/>
      <c r="I319" s="83"/>
      <c r="J319" s="84"/>
      <c r="K319" s="82"/>
      <c r="L319" s="21" t="e">
        <f>VLOOKUP(IF('ブロック表'!$D$16=9,ゲームNo!$D306,IF('ブロック表'!$D$16=10,ゲームNo!$J306,IF('ブロック表'!$D$16=11,ゲームNo!$P306,ゲームNo!$V306))),'ブロック表'!$A$4:$N$15,11,FALSE)</f>
        <v>#N/A</v>
      </c>
      <c r="M319" s="72" t="e">
        <f>VLOOKUP(IF('ブロック表'!$D$16=9,ゲームNo!$D306,IF('ブロック表'!$D$16=10,ゲームNo!$J306,IF('ブロック表'!$D$16=11,ゲームNo!$P306,ゲームNo!$V306))),'ブロック表'!$A$4:$C$15,3,FALSE)</f>
        <v>#N/A</v>
      </c>
    </row>
    <row r="320" spans="1:13" ht="14.25" customHeight="1">
      <c r="A320" s="99">
        <v>305</v>
      </c>
      <c r="B320" s="73">
        <v>61</v>
      </c>
      <c r="C320" s="133">
        <v>5</v>
      </c>
      <c r="D320" s="105" t="e">
        <f t="shared" si="8"/>
        <v>#N/A</v>
      </c>
      <c r="E320" s="105" t="e">
        <f t="shared" si="9"/>
        <v>#N/A</v>
      </c>
      <c r="F320" s="74" t="e">
        <f>VLOOKUP(IF('ブロック表'!$D$16=9,ゲームNo!$C307,IF('ブロック表'!$D$16=10,ゲームNo!$I307,IF('ブロック表'!$D$16=11,ゲームNo!$O307,ゲームNo!$U307))),'ブロック表'!$A$4:$C$15,3,FALSE)</f>
        <v>#N/A</v>
      </c>
      <c r="G320" s="17" t="e">
        <f>VLOOKUP(IF('ブロック表'!$D$16=9,ゲームNo!$C307,IF('ブロック表'!$D$16=10,ゲームNo!$I307,IF('ブロック表'!$D$16=11,ゲームNo!$O307,ゲームNo!$U307))),'ブロック表'!$A$4:$N$15,13,FALSE)</f>
        <v>#N/A</v>
      </c>
      <c r="H320" s="85"/>
      <c r="I320" s="86"/>
      <c r="J320" s="87"/>
      <c r="K320" s="85"/>
      <c r="L320" s="22" t="e">
        <f>VLOOKUP(IF('ブロック表'!$D$16=9,ゲームNo!$D307,IF('ブロック表'!$D$16=10,ゲームNo!$J307,IF('ブロック表'!$D$16=11,ゲームNo!$P307,ゲームNo!$V307))),'ブロック表'!$A$4:$N$15,13,FALSE)</f>
        <v>#N/A</v>
      </c>
      <c r="M320" s="75" t="e">
        <f>VLOOKUP(IF('ブロック表'!$D$16=9,ゲームNo!$D307,IF('ブロック表'!$D$16=10,ゲームNo!$J307,IF('ブロック表'!$D$16=11,ゲームNo!$P307,ゲームNo!$V307))),'ブロック表'!$A$4:$C$15,3,FALSE)</f>
        <v>#N/A</v>
      </c>
    </row>
    <row r="321" spans="1:13" ht="13.5" customHeight="1">
      <c r="A321" s="97">
        <v>306</v>
      </c>
      <c r="B321" s="92">
        <v>62</v>
      </c>
      <c r="C321" s="131">
        <v>1</v>
      </c>
      <c r="D321" s="106" t="e">
        <f t="shared" si="8"/>
        <v>#N/A</v>
      </c>
      <c r="E321" s="106" t="e">
        <f t="shared" si="9"/>
        <v>#N/A</v>
      </c>
      <c r="F321" s="76" t="e">
        <f>VLOOKUP(IF('ブロック表'!$D$16=9,ゲームNo!$C308,IF('ブロック表'!$D$16=10,ゲームNo!$I308,IF('ブロック表'!$D$16=11,ゲームNo!$O308,ゲームNo!$U308))),'ブロック表'!$A$4:$C$15,3,FALSE)</f>
        <v>#N/A</v>
      </c>
      <c r="G321" s="19" t="e">
        <f>VLOOKUP(IF('ブロック表'!$D$16=9,ゲームNo!$C308,IF('ブロック表'!$D$16=10,ゲームNo!$I308,IF('ブロック表'!$D$16=11,ゲームNo!$O308,ゲームNo!$U308))),'ブロック表'!$A$4:$N$15,5,FALSE)</f>
        <v>#N/A</v>
      </c>
      <c r="H321" s="88"/>
      <c r="I321" s="89"/>
      <c r="J321" s="90"/>
      <c r="K321" s="88"/>
      <c r="L321" s="20" t="e">
        <f>VLOOKUP(IF('ブロック表'!$D$16=9,ゲームNo!$D308,IF('ブロック表'!$D$16=10,ゲームNo!$J308,IF('ブロック表'!$D$16=11,ゲームNo!$P308,ゲームNo!$V308))),'ブロック表'!$A$4:$N$15,5,FALSE)</f>
        <v>#N/A</v>
      </c>
      <c r="M321" s="93" t="e">
        <f>VLOOKUP(IF('ブロック表'!$D$16=9,ゲームNo!$D308,IF('ブロック表'!$D$16=10,ゲームNo!$J308,IF('ブロック表'!$D$16=11,ゲームNo!$P308,ゲームNo!$V308))),'ブロック表'!$A$4:$C$15,3,FALSE)</f>
        <v>#N/A</v>
      </c>
    </row>
    <row r="322" spans="1:13" ht="13.5" customHeight="1">
      <c r="A322" s="98">
        <v>307</v>
      </c>
      <c r="B322" s="70">
        <v>62</v>
      </c>
      <c r="C322" s="132">
        <v>2</v>
      </c>
      <c r="D322" s="104" t="e">
        <f t="shared" si="8"/>
        <v>#N/A</v>
      </c>
      <c r="E322" s="104" t="e">
        <f t="shared" si="9"/>
        <v>#N/A</v>
      </c>
      <c r="F322" s="71" t="e">
        <f>VLOOKUP(IF('ブロック表'!$D$16=9,ゲームNo!$C309,IF('ブロック表'!$D$16=10,ゲームNo!$I309,IF('ブロック表'!$D$16=11,ゲームNo!$O309,ゲームNo!$U309))),'ブロック表'!$A$4:$C$15,3,FALSE)</f>
        <v>#N/A</v>
      </c>
      <c r="G322" s="15" t="e">
        <f>VLOOKUP(IF('ブロック表'!$D$16=9,ゲームNo!$C309,IF('ブロック表'!$D$16=10,ゲームNo!$I309,IF('ブロック表'!$D$16=11,ゲームNo!$O309,ゲームNo!$U309))),'ブロック表'!$A$4:$N$15,7,FALSE)</f>
        <v>#N/A</v>
      </c>
      <c r="H322" s="82"/>
      <c r="I322" s="83"/>
      <c r="J322" s="84"/>
      <c r="K322" s="82"/>
      <c r="L322" s="21" t="e">
        <f>VLOOKUP(IF('ブロック表'!$D$16=9,ゲームNo!$D309,IF('ブロック表'!$D$16=10,ゲームNo!$J309,IF('ブロック表'!$D$16=11,ゲームNo!$P309,ゲームNo!$V309))),'ブロック表'!$A$4:$N$15,7,FALSE)</f>
        <v>#N/A</v>
      </c>
      <c r="M322" s="72" t="e">
        <f>VLOOKUP(IF('ブロック表'!$D$16=9,ゲームNo!$D309,IF('ブロック表'!$D$16=10,ゲームNo!$J309,IF('ブロック表'!$D$16=11,ゲームNo!$P309,ゲームNo!$V309))),'ブロック表'!$A$4:$C$15,3,FALSE)</f>
        <v>#N/A</v>
      </c>
    </row>
    <row r="323" spans="1:13" ht="13.5" customHeight="1">
      <c r="A323" s="98">
        <v>308</v>
      </c>
      <c r="B323" s="70">
        <v>62</v>
      </c>
      <c r="C323" s="132">
        <v>3</v>
      </c>
      <c r="D323" s="104" t="e">
        <f t="shared" si="8"/>
        <v>#N/A</v>
      </c>
      <c r="E323" s="104" t="e">
        <f t="shared" si="9"/>
        <v>#N/A</v>
      </c>
      <c r="F323" s="71" t="e">
        <f>VLOOKUP(IF('ブロック表'!$D$16=9,ゲームNo!$C310,IF('ブロック表'!$D$16=10,ゲームNo!$I310,IF('ブロック表'!$D$16=11,ゲームNo!$O310,ゲームNo!$U310))),'ブロック表'!$A$4:$C$15,3,FALSE)</f>
        <v>#N/A</v>
      </c>
      <c r="G323" s="15" t="e">
        <f>VLOOKUP(IF('ブロック表'!$D$16=9,ゲームNo!$C310,IF('ブロック表'!$D$16=10,ゲームNo!$I310,IF('ブロック表'!$D$16=11,ゲームNo!$O310,ゲームNo!$U310))),'ブロック表'!$A$4:$N$15,9,FALSE)</f>
        <v>#N/A</v>
      </c>
      <c r="H323" s="82"/>
      <c r="I323" s="83"/>
      <c r="J323" s="84"/>
      <c r="K323" s="82"/>
      <c r="L323" s="21" t="e">
        <f>VLOOKUP(IF('ブロック表'!$D$16=9,ゲームNo!$D310,IF('ブロック表'!$D$16=10,ゲームNo!$J310,IF('ブロック表'!$D$16=11,ゲームNo!$P310,ゲームNo!$V310))),'ブロック表'!$A$4:$N$15,9,FALSE)</f>
        <v>#N/A</v>
      </c>
      <c r="M323" s="72" t="e">
        <f>VLOOKUP(IF('ブロック表'!$D$16=9,ゲームNo!$D310,IF('ブロック表'!$D$16=10,ゲームNo!$J310,IF('ブロック表'!$D$16=11,ゲームNo!$P310,ゲームNo!$V310))),'ブロック表'!$A$4:$C$15,3,FALSE)</f>
        <v>#N/A</v>
      </c>
    </row>
    <row r="324" spans="1:13" ht="13.5" customHeight="1">
      <c r="A324" s="98">
        <v>309</v>
      </c>
      <c r="B324" s="70">
        <v>62</v>
      </c>
      <c r="C324" s="132">
        <v>4</v>
      </c>
      <c r="D324" s="104" t="e">
        <f t="shared" si="8"/>
        <v>#N/A</v>
      </c>
      <c r="E324" s="104" t="e">
        <f t="shared" si="9"/>
        <v>#N/A</v>
      </c>
      <c r="F324" s="71" t="e">
        <f>VLOOKUP(IF('ブロック表'!$D$16=9,ゲームNo!$C311,IF('ブロック表'!$D$16=10,ゲームNo!$I311,IF('ブロック表'!$D$16=11,ゲームNo!$O311,ゲームNo!$U311))),'ブロック表'!$A$4:$C$15,3,FALSE)</f>
        <v>#N/A</v>
      </c>
      <c r="G324" s="15" t="e">
        <f>VLOOKUP(IF('ブロック表'!$D$16=9,ゲームNo!$C311,IF('ブロック表'!$D$16=10,ゲームNo!$I311,IF('ブロック表'!$D$16=11,ゲームNo!$O311,ゲームNo!$U311))),'ブロック表'!$A$4:$N$15,11,FALSE)</f>
        <v>#N/A</v>
      </c>
      <c r="H324" s="82"/>
      <c r="I324" s="83"/>
      <c r="J324" s="84"/>
      <c r="K324" s="82"/>
      <c r="L324" s="21" t="e">
        <f>VLOOKUP(IF('ブロック表'!$D$16=9,ゲームNo!$D311,IF('ブロック表'!$D$16=10,ゲームNo!$J311,IF('ブロック表'!$D$16=11,ゲームNo!$P311,ゲームNo!$V311))),'ブロック表'!$A$4:$N$15,11,FALSE)</f>
        <v>#N/A</v>
      </c>
      <c r="M324" s="72" t="e">
        <f>VLOOKUP(IF('ブロック表'!$D$16=9,ゲームNo!$D311,IF('ブロック表'!$D$16=10,ゲームNo!$J311,IF('ブロック表'!$D$16=11,ゲームNo!$P311,ゲームNo!$V311))),'ブロック表'!$A$4:$C$15,3,FALSE)</f>
        <v>#N/A</v>
      </c>
    </row>
    <row r="325" spans="1:13" ht="14.25" customHeight="1">
      <c r="A325" s="99">
        <v>310</v>
      </c>
      <c r="B325" s="73">
        <v>62</v>
      </c>
      <c r="C325" s="133">
        <v>5</v>
      </c>
      <c r="D325" s="105" t="e">
        <f t="shared" si="8"/>
        <v>#N/A</v>
      </c>
      <c r="E325" s="105" t="e">
        <f t="shared" si="9"/>
        <v>#N/A</v>
      </c>
      <c r="F325" s="74" t="e">
        <f>VLOOKUP(IF('ブロック表'!$D$16=9,ゲームNo!$C312,IF('ブロック表'!$D$16=10,ゲームNo!$I312,IF('ブロック表'!$D$16=11,ゲームNo!$O312,ゲームNo!$U312))),'ブロック表'!$A$4:$C$15,3,FALSE)</f>
        <v>#N/A</v>
      </c>
      <c r="G325" s="17" t="e">
        <f>VLOOKUP(IF('ブロック表'!$D$16=9,ゲームNo!$C312,IF('ブロック表'!$D$16=10,ゲームNo!$I312,IF('ブロック表'!$D$16=11,ゲームNo!$O312,ゲームNo!$U312))),'ブロック表'!$A$4:$N$15,13,FALSE)</f>
        <v>#N/A</v>
      </c>
      <c r="H325" s="85"/>
      <c r="I325" s="86"/>
      <c r="J325" s="87"/>
      <c r="K325" s="85"/>
      <c r="L325" s="22" t="e">
        <f>VLOOKUP(IF('ブロック表'!$D$16=9,ゲームNo!$D312,IF('ブロック表'!$D$16=10,ゲームNo!$J312,IF('ブロック表'!$D$16=11,ゲームNo!$P312,ゲームNo!$V312))),'ブロック表'!$A$4:$N$15,13,FALSE)</f>
        <v>#N/A</v>
      </c>
      <c r="M325" s="75" t="e">
        <f>VLOOKUP(IF('ブロック表'!$D$16=9,ゲームNo!$D312,IF('ブロック表'!$D$16=10,ゲームNo!$J312,IF('ブロック表'!$D$16=11,ゲームNo!$P312,ゲームNo!$V312))),'ブロック表'!$A$4:$C$15,3,FALSE)</f>
        <v>#N/A</v>
      </c>
    </row>
    <row r="326" spans="1:13" ht="13.5" customHeight="1">
      <c r="A326" s="97">
        <v>311</v>
      </c>
      <c r="B326" s="92">
        <v>63</v>
      </c>
      <c r="C326" s="131">
        <v>1</v>
      </c>
      <c r="D326" s="106" t="e">
        <f t="shared" si="8"/>
        <v>#N/A</v>
      </c>
      <c r="E326" s="106" t="e">
        <f t="shared" si="9"/>
        <v>#N/A</v>
      </c>
      <c r="F326" s="76" t="e">
        <f>VLOOKUP(IF('ブロック表'!$D$16=9,ゲームNo!$C313,IF('ブロック表'!$D$16=10,ゲームNo!$I313,IF('ブロック表'!$D$16=11,ゲームNo!$O313,ゲームNo!$U313))),'ブロック表'!$A$4:$C$15,3,FALSE)</f>
        <v>#N/A</v>
      </c>
      <c r="G326" s="19" t="e">
        <f>VLOOKUP(IF('ブロック表'!$D$16=9,ゲームNo!$C313,IF('ブロック表'!$D$16=10,ゲームNo!$I313,IF('ブロック表'!$D$16=11,ゲームNo!$O313,ゲームNo!$U313))),'ブロック表'!$A$4:$N$15,5,FALSE)</f>
        <v>#N/A</v>
      </c>
      <c r="H326" s="88"/>
      <c r="I326" s="89"/>
      <c r="J326" s="90"/>
      <c r="K326" s="88"/>
      <c r="L326" s="20" t="e">
        <f>VLOOKUP(IF('ブロック表'!$D$16=9,ゲームNo!$D313,IF('ブロック表'!$D$16=10,ゲームNo!$J313,IF('ブロック表'!$D$16=11,ゲームNo!$P313,ゲームNo!$V313))),'ブロック表'!$A$4:$N$15,5,FALSE)</f>
        <v>#N/A</v>
      </c>
      <c r="M326" s="93" t="e">
        <f>VLOOKUP(IF('ブロック表'!$D$16=9,ゲームNo!$D313,IF('ブロック表'!$D$16=10,ゲームNo!$J313,IF('ブロック表'!$D$16=11,ゲームNo!$P313,ゲームNo!$V313))),'ブロック表'!$A$4:$C$15,3,FALSE)</f>
        <v>#N/A</v>
      </c>
    </row>
    <row r="327" spans="1:13" ht="13.5" customHeight="1">
      <c r="A327" s="98">
        <v>312</v>
      </c>
      <c r="B327" s="70">
        <v>63</v>
      </c>
      <c r="C327" s="132">
        <v>2</v>
      </c>
      <c r="D327" s="104" t="e">
        <f t="shared" si="8"/>
        <v>#N/A</v>
      </c>
      <c r="E327" s="104" t="e">
        <f t="shared" si="9"/>
        <v>#N/A</v>
      </c>
      <c r="F327" s="71" t="e">
        <f>VLOOKUP(IF('ブロック表'!$D$16=9,ゲームNo!$C314,IF('ブロック表'!$D$16=10,ゲームNo!$I314,IF('ブロック表'!$D$16=11,ゲームNo!$O314,ゲームNo!$U314))),'ブロック表'!$A$4:$C$15,3,FALSE)</f>
        <v>#N/A</v>
      </c>
      <c r="G327" s="15" t="e">
        <f>VLOOKUP(IF('ブロック表'!$D$16=9,ゲームNo!$C314,IF('ブロック表'!$D$16=10,ゲームNo!$I314,IF('ブロック表'!$D$16=11,ゲームNo!$O314,ゲームNo!$U314))),'ブロック表'!$A$4:$N$15,7,FALSE)</f>
        <v>#N/A</v>
      </c>
      <c r="H327" s="82"/>
      <c r="I327" s="83"/>
      <c r="J327" s="84"/>
      <c r="K327" s="82"/>
      <c r="L327" s="21" t="e">
        <f>VLOOKUP(IF('ブロック表'!$D$16=9,ゲームNo!$D314,IF('ブロック表'!$D$16=10,ゲームNo!$J314,IF('ブロック表'!$D$16=11,ゲームNo!$P314,ゲームNo!$V314))),'ブロック表'!$A$4:$N$15,7,FALSE)</f>
        <v>#N/A</v>
      </c>
      <c r="M327" s="72" t="e">
        <f>VLOOKUP(IF('ブロック表'!$D$16=9,ゲームNo!$D314,IF('ブロック表'!$D$16=10,ゲームNo!$J314,IF('ブロック表'!$D$16=11,ゲームNo!$P314,ゲームNo!$V314))),'ブロック表'!$A$4:$C$15,3,FALSE)</f>
        <v>#N/A</v>
      </c>
    </row>
    <row r="328" spans="1:13" ht="13.5" customHeight="1">
      <c r="A328" s="98">
        <v>313</v>
      </c>
      <c r="B328" s="70">
        <v>63</v>
      </c>
      <c r="C328" s="132">
        <v>3</v>
      </c>
      <c r="D328" s="104" t="e">
        <f t="shared" si="8"/>
        <v>#N/A</v>
      </c>
      <c r="E328" s="104" t="e">
        <f t="shared" si="9"/>
        <v>#N/A</v>
      </c>
      <c r="F328" s="71" t="e">
        <f>VLOOKUP(IF('ブロック表'!$D$16=9,ゲームNo!$C315,IF('ブロック表'!$D$16=10,ゲームNo!$I315,IF('ブロック表'!$D$16=11,ゲームNo!$O315,ゲームNo!$U315))),'ブロック表'!$A$4:$C$15,3,FALSE)</f>
        <v>#N/A</v>
      </c>
      <c r="G328" s="15" t="e">
        <f>VLOOKUP(IF('ブロック表'!$D$16=9,ゲームNo!$C315,IF('ブロック表'!$D$16=10,ゲームNo!$I315,IF('ブロック表'!$D$16=11,ゲームNo!$O315,ゲームNo!$U315))),'ブロック表'!$A$4:$N$15,9,FALSE)</f>
        <v>#N/A</v>
      </c>
      <c r="H328" s="82"/>
      <c r="I328" s="83"/>
      <c r="J328" s="84"/>
      <c r="K328" s="82"/>
      <c r="L328" s="21" t="e">
        <f>VLOOKUP(IF('ブロック表'!$D$16=9,ゲームNo!$D315,IF('ブロック表'!$D$16=10,ゲームNo!$J315,IF('ブロック表'!$D$16=11,ゲームNo!$P315,ゲームNo!$V315))),'ブロック表'!$A$4:$N$15,9,FALSE)</f>
        <v>#N/A</v>
      </c>
      <c r="M328" s="72" t="e">
        <f>VLOOKUP(IF('ブロック表'!$D$16=9,ゲームNo!$D315,IF('ブロック表'!$D$16=10,ゲームNo!$J315,IF('ブロック表'!$D$16=11,ゲームNo!$P315,ゲームNo!$V315))),'ブロック表'!$A$4:$C$15,3,FALSE)</f>
        <v>#N/A</v>
      </c>
    </row>
    <row r="329" spans="1:13" ht="13.5" customHeight="1">
      <c r="A329" s="98">
        <v>314</v>
      </c>
      <c r="B329" s="70">
        <v>63</v>
      </c>
      <c r="C329" s="132">
        <v>4</v>
      </c>
      <c r="D329" s="104" t="e">
        <f t="shared" si="8"/>
        <v>#N/A</v>
      </c>
      <c r="E329" s="104" t="e">
        <f t="shared" si="9"/>
        <v>#N/A</v>
      </c>
      <c r="F329" s="71" t="e">
        <f>VLOOKUP(IF('ブロック表'!$D$16=9,ゲームNo!$C316,IF('ブロック表'!$D$16=10,ゲームNo!$I316,IF('ブロック表'!$D$16=11,ゲームNo!$O316,ゲームNo!$U316))),'ブロック表'!$A$4:$C$15,3,FALSE)</f>
        <v>#N/A</v>
      </c>
      <c r="G329" s="15" t="e">
        <f>VLOOKUP(IF('ブロック表'!$D$16=9,ゲームNo!$C316,IF('ブロック表'!$D$16=10,ゲームNo!$I316,IF('ブロック表'!$D$16=11,ゲームNo!$O316,ゲームNo!$U316))),'ブロック表'!$A$4:$N$15,11,FALSE)</f>
        <v>#N/A</v>
      </c>
      <c r="H329" s="82"/>
      <c r="I329" s="83"/>
      <c r="J329" s="84"/>
      <c r="K329" s="82"/>
      <c r="L329" s="21" t="e">
        <f>VLOOKUP(IF('ブロック表'!$D$16=9,ゲームNo!$D316,IF('ブロック表'!$D$16=10,ゲームNo!$J316,IF('ブロック表'!$D$16=11,ゲームNo!$P316,ゲームNo!$V316))),'ブロック表'!$A$4:$N$15,11,FALSE)</f>
        <v>#N/A</v>
      </c>
      <c r="M329" s="72" t="e">
        <f>VLOOKUP(IF('ブロック表'!$D$16=9,ゲームNo!$D316,IF('ブロック表'!$D$16=10,ゲームNo!$J316,IF('ブロック表'!$D$16=11,ゲームNo!$P316,ゲームNo!$V316))),'ブロック表'!$A$4:$C$15,3,FALSE)</f>
        <v>#N/A</v>
      </c>
    </row>
    <row r="330" spans="1:13" ht="14.25" customHeight="1">
      <c r="A330" s="99">
        <v>315</v>
      </c>
      <c r="B330" s="73">
        <v>63</v>
      </c>
      <c r="C330" s="133">
        <v>5</v>
      </c>
      <c r="D330" s="105" t="e">
        <f t="shared" si="8"/>
        <v>#N/A</v>
      </c>
      <c r="E330" s="105" t="e">
        <f t="shared" si="9"/>
        <v>#N/A</v>
      </c>
      <c r="F330" s="74" t="e">
        <f>VLOOKUP(IF('ブロック表'!$D$16=9,ゲームNo!$C317,IF('ブロック表'!$D$16=10,ゲームNo!$I317,IF('ブロック表'!$D$16=11,ゲームNo!$O317,ゲームNo!$U317))),'ブロック表'!$A$4:$C$15,3,FALSE)</f>
        <v>#N/A</v>
      </c>
      <c r="G330" s="17" t="e">
        <f>VLOOKUP(IF('ブロック表'!$D$16=9,ゲームNo!$C317,IF('ブロック表'!$D$16=10,ゲームNo!$I317,IF('ブロック表'!$D$16=11,ゲームNo!$O317,ゲームNo!$U317))),'ブロック表'!$A$4:$N$15,13,FALSE)</f>
        <v>#N/A</v>
      </c>
      <c r="H330" s="85"/>
      <c r="I330" s="86"/>
      <c r="J330" s="87"/>
      <c r="K330" s="85"/>
      <c r="L330" s="22" t="e">
        <f>VLOOKUP(IF('ブロック表'!$D$16=9,ゲームNo!$D317,IF('ブロック表'!$D$16=10,ゲームNo!$J317,IF('ブロック表'!$D$16=11,ゲームNo!$P317,ゲームNo!$V317))),'ブロック表'!$A$4:$N$15,13,FALSE)</f>
        <v>#N/A</v>
      </c>
      <c r="M330" s="75" t="e">
        <f>VLOOKUP(IF('ブロック表'!$D$16=9,ゲームNo!$D317,IF('ブロック表'!$D$16=10,ゲームNo!$J317,IF('ブロック表'!$D$16=11,ゲームNo!$P317,ゲームNo!$V317))),'ブロック表'!$A$4:$C$15,3,FALSE)</f>
        <v>#N/A</v>
      </c>
    </row>
    <row r="331" spans="1:13" ht="13.5" customHeight="1">
      <c r="A331" s="97">
        <v>316</v>
      </c>
      <c r="B331" s="92">
        <v>64</v>
      </c>
      <c r="C331" s="131">
        <v>1</v>
      </c>
      <c r="D331" s="106" t="e">
        <f t="shared" si="8"/>
        <v>#N/A</v>
      </c>
      <c r="E331" s="106" t="e">
        <f t="shared" si="9"/>
        <v>#N/A</v>
      </c>
      <c r="F331" s="76" t="e">
        <f>VLOOKUP(IF('ブロック表'!$D$16=9,ゲームNo!$C318,IF('ブロック表'!$D$16=10,ゲームNo!$I318,IF('ブロック表'!$D$16=11,ゲームNo!$O318,ゲームNo!$U318))),'ブロック表'!$A$4:$C$15,3,FALSE)</f>
        <v>#N/A</v>
      </c>
      <c r="G331" s="19" t="e">
        <f>VLOOKUP(IF('ブロック表'!$D$16=9,ゲームNo!$C318,IF('ブロック表'!$D$16=10,ゲームNo!$I318,IF('ブロック表'!$D$16=11,ゲームNo!$O318,ゲームNo!$U318))),'ブロック表'!$A$4:$N$15,5,FALSE)</f>
        <v>#N/A</v>
      </c>
      <c r="H331" s="88"/>
      <c r="I331" s="89"/>
      <c r="J331" s="90"/>
      <c r="K331" s="88"/>
      <c r="L331" s="20" t="e">
        <f>VLOOKUP(IF('ブロック表'!$D$16=9,ゲームNo!$D318,IF('ブロック表'!$D$16=10,ゲームNo!$J318,IF('ブロック表'!$D$16=11,ゲームNo!$P318,ゲームNo!$V318))),'ブロック表'!$A$4:$N$15,5,FALSE)</f>
        <v>#N/A</v>
      </c>
      <c r="M331" s="93" t="e">
        <f>VLOOKUP(IF('ブロック表'!$D$16=9,ゲームNo!$D318,IF('ブロック表'!$D$16=10,ゲームNo!$J318,IF('ブロック表'!$D$16=11,ゲームNo!$P318,ゲームNo!$V318))),'ブロック表'!$A$4:$C$15,3,FALSE)</f>
        <v>#N/A</v>
      </c>
    </row>
    <row r="332" spans="1:13" ht="13.5" customHeight="1">
      <c r="A332" s="98">
        <v>317</v>
      </c>
      <c r="B332" s="70">
        <v>64</v>
      </c>
      <c r="C332" s="132">
        <v>2</v>
      </c>
      <c r="D332" s="104" t="e">
        <f t="shared" si="8"/>
        <v>#N/A</v>
      </c>
      <c r="E332" s="104" t="e">
        <f t="shared" si="9"/>
        <v>#N/A</v>
      </c>
      <c r="F332" s="71" t="e">
        <f>VLOOKUP(IF('ブロック表'!$D$16=9,ゲームNo!$C319,IF('ブロック表'!$D$16=10,ゲームNo!$I319,IF('ブロック表'!$D$16=11,ゲームNo!$O319,ゲームNo!$U319))),'ブロック表'!$A$4:$C$15,3,FALSE)</f>
        <v>#N/A</v>
      </c>
      <c r="G332" s="15" t="e">
        <f>VLOOKUP(IF('ブロック表'!$D$16=9,ゲームNo!$C319,IF('ブロック表'!$D$16=10,ゲームNo!$I319,IF('ブロック表'!$D$16=11,ゲームNo!$O319,ゲームNo!$U319))),'ブロック表'!$A$4:$N$15,7,FALSE)</f>
        <v>#N/A</v>
      </c>
      <c r="H332" s="82"/>
      <c r="I332" s="83"/>
      <c r="J332" s="84"/>
      <c r="K332" s="82"/>
      <c r="L332" s="21" t="e">
        <f>VLOOKUP(IF('ブロック表'!$D$16=9,ゲームNo!$D319,IF('ブロック表'!$D$16=10,ゲームNo!$J319,IF('ブロック表'!$D$16=11,ゲームNo!$P319,ゲームNo!$V319))),'ブロック表'!$A$4:$N$15,7,FALSE)</f>
        <v>#N/A</v>
      </c>
      <c r="M332" s="72" t="e">
        <f>VLOOKUP(IF('ブロック表'!$D$16=9,ゲームNo!$D319,IF('ブロック表'!$D$16=10,ゲームNo!$J319,IF('ブロック表'!$D$16=11,ゲームNo!$P319,ゲームNo!$V319))),'ブロック表'!$A$4:$C$15,3,FALSE)</f>
        <v>#N/A</v>
      </c>
    </row>
    <row r="333" spans="1:13" ht="13.5" customHeight="1">
      <c r="A333" s="98">
        <v>318</v>
      </c>
      <c r="B333" s="70">
        <v>64</v>
      </c>
      <c r="C333" s="132">
        <v>3</v>
      </c>
      <c r="D333" s="104" t="e">
        <f t="shared" si="8"/>
        <v>#N/A</v>
      </c>
      <c r="E333" s="104" t="e">
        <f t="shared" si="9"/>
        <v>#N/A</v>
      </c>
      <c r="F333" s="71" t="e">
        <f>VLOOKUP(IF('ブロック表'!$D$16=9,ゲームNo!$C320,IF('ブロック表'!$D$16=10,ゲームNo!$I320,IF('ブロック表'!$D$16=11,ゲームNo!$O320,ゲームNo!$U320))),'ブロック表'!$A$4:$C$15,3,FALSE)</f>
        <v>#N/A</v>
      </c>
      <c r="G333" s="15" t="e">
        <f>VLOOKUP(IF('ブロック表'!$D$16=9,ゲームNo!$C320,IF('ブロック表'!$D$16=10,ゲームNo!$I320,IF('ブロック表'!$D$16=11,ゲームNo!$O320,ゲームNo!$U320))),'ブロック表'!$A$4:$N$15,9,FALSE)</f>
        <v>#N/A</v>
      </c>
      <c r="H333" s="82"/>
      <c r="I333" s="83"/>
      <c r="J333" s="84"/>
      <c r="K333" s="82"/>
      <c r="L333" s="21" t="e">
        <f>VLOOKUP(IF('ブロック表'!$D$16=9,ゲームNo!$D320,IF('ブロック表'!$D$16=10,ゲームNo!$J320,IF('ブロック表'!$D$16=11,ゲームNo!$P320,ゲームNo!$V320))),'ブロック表'!$A$4:$N$15,9,FALSE)</f>
        <v>#N/A</v>
      </c>
      <c r="M333" s="72" t="e">
        <f>VLOOKUP(IF('ブロック表'!$D$16=9,ゲームNo!$D320,IF('ブロック表'!$D$16=10,ゲームNo!$J320,IF('ブロック表'!$D$16=11,ゲームNo!$P320,ゲームNo!$V320))),'ブロック表'!$A$4:$C$15,3,FALSE)</f>
        <v>#N/A</v>
      </c>
    </row>
    <row r="334" spans="1:13" ht="13.5" customHeight="1">
      <c r="A334" s="98">
        <v>319</v>
      </c>
      <c r="B334" s="70">
        <v>64</v>
      </c>
      <c r="C334" s="132">
        <v>4</v>
      </c>
      <c r="D334" s="104" t="e">
        <f t="shared" si="8"/>
        <v>#N/A</v>
      </c>
      <c r="E334" s="104" t="e">
        <f t="shared" si="9"/>
        <v>#N/A</v>
      </c>
      <c r="F334" s="71" t="e">
        <f>VLOOKUP(IF('ブロック表'!$D$16=9,ゲームNo!$C321,IF('ブロック表'!$D$16=10,ゲームNo!$I321,IF('ブロック表'!$D$16=11,ゲームNo!$O321,ゲームNo!$U321))),'ブロック表'!$A$4:$C$15,3,FALSE)</f>
        <v>#N/A</v>
      </c>
      <c r="G334" s="15" t="e">
        <f>VLOOKUP(IF('ブロック表'!$D$16=9,ゲームNo!$C321,IF('ブロック表'!$D$16=10,ゲームNo!$I321,IF('ブロック表'!$D$16=11,ゲームNo!$O321,ゲームNo!$U321))),'ブロック表'!$A$4:$N$15,11,FALSE)</f>
        <v>#N/A</v>
      </c>
      <c r="H334" s="82"/>
      <c r="I334" s="83"/>
      <c r="J334" s="84"/>
      <c r="K334" s="82"/>
      <c r="L334" s="21" t="e">
        <f>VLOOKUP(IF('ブロック表'!$D$16=9,ゲームNo!$D321,IF('ブロック表'!$D$16=10,ゲームNo!$J321,IF('ブロック表'!$D$16=11,ゲームNo!$P321,ゲームNo!$V321))),'ブロック表'!$A$4:$N$15,11,FALSE)</f>
        <v>#N/A</v>
      </c>
      <c r="M334" s="72" t="e">
        <f>VLOOKUP(IF('ブロック表'!$D$16=9,ゲームNo!$D321,IF('ブロック表'!$D$16=10,ゲームNo!$J321,IF('ブロック表'!$D$16=11,ゲームNo!$P321,ゲームNo!$V321))),'ブロック表'!$A$4:$C$15,3,FALSE)</f>
        <v>#N/A</v>
      </c>
    </row>
    <row r="335" spans="1:13" ht="14.25" customHeight="1">
      <c r="A335" s="99">
        <v>320</v>
      </c>
      <c r="B335" s="73">
        <v>64</v>
      </c>
      <c r="C335" s="133">
        <v>5</v>
      </c>
      <c r="D335" s="105" t="e">
        <f t="shared" si="8"/>
        <v>#N/A</v>
      </c>
      <c r="E335" s="105" t="e">
        <f t="shared" si="9"/>
        <v>#N/A</v>
      </c>
      <c r="F335" s="74" t="e">
        <f>VLOOKUP(IF('ブロック表'!$D$16=9,ゲームNo!$C322,IF('ブロック表'!$D$16=10,ゲームNo!$I322,IF('ブロック表'!$D$16=11,ゲームNo!$O322,ゲームNo!$U322))),'ブロック表'!$A$4:$C$15,3,FALSE)</f>
        <v>#N/A</v>
      </c>
      <c r="G335" s="17" t="e">
        <f>VLOOKUP(IF('ブロック表'!$D$16=9,ゲームNo!$C322,IF('ブロック表'!$D$16=10,ゲームNo!$I322,IF('ブロック表'!$D$16=11,ゲームNo!$O322,ゲームNo!$U322))),'ブロック表'!$A$4:$N$15,13,FALSE)</f>
        <v>#N/A</v>
      </c>
      <c r="H335" s="85"/>
      <c r="I335" s="86"/>
      <c r="J335" s="87"/>
      <c r="K335" s="85"/>
      <c r="L335" s="22" t="e">
        <f>VLOOKUP(IF('ブロック表'!$D$16=9,ゲームNo!$D322,IF('ブロック表'!$D$16=10,ゲームNo!$J322,IF('ブロック表'!$D$16=11,ゲームNo!$P322,ゲームNo!$V322))),'ブロック表'!$A$4:$N$15,13,FALSE)</f>
        <v>#N/A</v>
      </c>
      <c r="M335" s="75" t="e">
        <f>VLOOKUP(IF('ブロック表'!$D$16=9,ゲームNo!$D322,IF('ブロック表'!$D$16=10,ゲームNo!$J322,IF('ブロック表'!$D$16=11,ゲームNo!$P322,ゲームNo!$V322))),'ブロック表'!$A$4:$C$15,3,FALSE)</f>
        <v>#N/A</v>
      </c>
    </row>
    <row r="336" spans="1:13" ht="13.5" customHeight="1">
      <c r="A336" s="97">
        <v>321</v>
      </c>
      <c r="B336" s="92">
        <v>65</v>
      </c>
      <c r="C336" s="131">
        <v>1</v>
      </c>
      <c r="D336" s="106" t="e">
        <f aca="true" t="shared" si="10" ref="D336:D345">M336&amp;G336</f>
        <v>#N/A</v>
      </c>
      <c r="E336" s="106" t="e">
        <f aca="true" t="shared" si="11" ref="E336:E345">F336&amp;L336</f>
        <v>#N/A</v>
      </c>
      <c r="F336" s="76" t="e">
        <f>VLOOKUP(IF('ブロック表'!$D$16=9,ゲームNo!$C323,IF('ブロック表'!$D$16=10,ゲームNo!$I323,IF('ブロック表'!$D$16=11,ゲームNo!$O323,ゲームNo!$U323))),'ブロック表'!$A$4:$C$15,3,FALSE)</f>
        <v>#N/A</v>
      </c>
      <c r="G336" s="19" t="e">
        <f>VLOOKUP(IF('ブロック表'!$D$16=9,ゲームNo!$C323,IF('ブロック表'!$D$16=10,ゲームNo!$I323,IF('ブロック表'!$D$16=11,ゲームNo!$O323,ゲームNo!$U323))),'ブロック表'!$A$4:$N$15,5,FALSE)</f>
        <v>#N/A</v>
      </c>
      <c r="H336" s="88"/>
      <c r="I336" s="89"/>
      <c r="J336" s="90"/>
      <c r="K336" s="88"/>
      <c r="L336" s="20" t="e">
        <f>VLOOKUP(IF('ブロック表'!$D$16=9,ゲームNo!$D323,IF('ブロック表'!$D$16=10,ゲームNo!$J323,IF('ブロック表'!$D$16=11,ゲームNo!$P323,ゲームNo!$V323))),'ブロック表'!$A$4:$N$15,5,FALSE)</f>
        <v>#N/A</v>
      </c>
      <c r="M336" s="93" t="e">
        <f>VLOOKUP(IF('ブロック表'!$D$16=9,ゲームNo!$D323,IF('ブロック表'!$D$16=10,ゲームNo!$J323,IF('ブロック表'!$D$16=11,ゲームNo!$P323,ゲームNo!$V323))),'ブロック表'!$A$4:$C$15,3,FALSE)</f>
        <v>#N/A</v>
      </c>
    </row>
    <row r="337" spans="1:13" ht="13.5" customHeight="1">
      <c r="A337" s="98">
        <v>322</v>
      </c>
      <c r="B337" s="70">
        <v>65</v>
      </c>
      <c r="C337" s="132">
        <v>2</v>
      </c>
      <c r="D337" s="104" t="e">
        <f t="shared" si="10"/>
        <v>#N/A</v>
      </c>
      <c r="E337" s="104" t="e">
        <f t="shared" si="11"/>
        <v>#N/A</v>
      </c>
      <c r="F337" s="71" t="e">
        <f>VLOOKUP(IF('ブロック表'!$D$16=9,ゲームNo!$C324,IF('ブロック表'!$D$16=10,ゲームNo!$I324,IF('ブロック表'!$D$16=11,ゲームNo!$O324,ゲームNo!$U324))),'ブロック表'!$A$4:$C$15,3,FALSE)</f>
        <v>#N/A</v>
      </c>
      <c r="G337" s="15" t="e">
        <f>VLOOKUP(IF('ブロック表'!$D$16=9,ゲームNo!$C324,IF('ブロック表'!$D$16=10,ゲームNo!$I324,IF('ブロック表'!$D$16=11,ゲームNo!$O324,ゲームNo!$U324))),'ブロック表'!$A$4:$N$15,7,FALSE)</f>
        <v>#N/A</v>
      </c>
      <c r="H337" s="82"/>
      <c r="I337" s="83"/>
      <c r="J337" s="84"/>
      <c r="K337" s="82"/>
      <c r="L337" s="21" t="e">
        <f>VLOOKUP(IF('ブロック表'!$D$16=9,ゲームNo!$D324,IF('ブロック表'!$D$16=10,ゲームNo!$J324,IF('ブロック表'!$D$16=11,ゲームNo!$P324,ゲームNo!$V324))),'ブロック表'!$A$4:$N$15,7,FALSE)</f>
        <v>#N/A</v>
      </c>
      <c r="M337" s="72" t="e">
        <f>VLOOKUP(IF('ブロック表'!$D$16=9,ゲームNo!$D324,IF('ブロック表'!$D$16=10,ゲームNo!$J324,IF('ブロック表'!$D$16=11,ゲームNo!$P324,ゲームNo!$V324))),'ブロック表'!$A$4:$C$15,3,FALSE)</f>
        <v>#N/A</v>
      </c>
    </row>
    <row r="338" spans="1:13" ht="13.5" customHeight="1">
      <c r="A338" s="98">
        <v>323</v>
      </c>
      <c r="B338" s="70">
        <v>65</v>
      </c>
      <c r="C338" s="132">
        <v>3</v>
      </c>
      <c r="D338" s="104" t="e">
        <f t="shared" si="10"/>
        <v>#N/A</v>
      </c>
      <c r="E338" s="104" t="e">
        <f t="shared" si="11"/>
        <v>#N/A</v>
      </c>
      <c r="F338" s="71" t="e">
        <f>VLOOKUP(IF('ブロック表'!$D$16=9,ゲームNo!$C325,IF('ブロック表'!$D$16=10,ゲームNo!$I325,IF('ブロック表'!$D$16=11,ゲームNo!$O325,ゲームNo!$U325))),'ブロック表'!$A$4:$C$15,3,FALSE)</f>
        <v>#N/A</v>
      </c>
      <c r="G338" s="15" t="e">
        <f>VLOOKUP(IF('ブロック表'!$D$16=9,ゲームNo!$C325,IF('ブロック表'!$D$16=10,ゲームNo!$I325,IF('ブロック表'!$D$16=11,ゲームNo!$O325,ゲームNo!$U325))),'ブロック表'!$A$4:$N$15,9,FALSE)</f>
        <v>#N/A</v>
      </c>
      <c r="H338" s="82"/>
      <c r="I338" s="83"/>
      <c r="J338" s="84"/>
      <c r="K338" s="82"/>
      <c r="L338" s="21" t="e">
        <f>VLOOKUP(IF('ブロック表'!$D$16=9,ゲームNo!$D325,IF('ブロック表'!$D$16=10,ゲームNo!$J325,IF('ブロック表'!$D$16=11,ゲームNo!$P325,ゲームNo!$V325))),'ブロック表'!$A$4:$N$15,9,FALSE)</f>
        <v>#N/A</v>
      </c>
      <c r="M338" s="72" t="e">
        <f>VLOOKUP(IF('ブロック表'!$D$16=9,ゲームNo!$D325,IF('ブロック表'!$D$16=10,ゲームNo!$J325,IF('ブロック表'!$D$16=11,ゲームNo!$P325,ゲームNo!$V325))),'ブロック表'!$A$4:$C$15,3,FALSE)</f>
        <v>#N/A</v>
      </c>
    </row>
    <row r="339" spans="1:13" ht="13.5" customHeight="1">
      <c r="A339" s="98">
        <v>324</v>
      </c>
      <c r="B339" s="70">
        <v>65</v>
      </c>
      <c r="C339" s="132">
        <v>4</v>
      </c>
      <c r="D339" s="104" t="e">
        <f t="shared" si="10"/>
        <v>#N/A</v>
      </c>
      <c r="E339" s="104" t="e">
        <f t="shared" si="11"/>
        <v>#N/A</v>
      </c>
      <c r="F339" s="71" t="e">
        <f>VLOOKUP(IF('ブロック表'!$D$16=9,ゲームNo!$C326,IF('ブロック表'!$D$16=10,ゲームNo!$I326,IF('ブロック表'!$D$16=11,ゲームNo!$O326,ゲームNo!$U326))),'ブロック表'!$A$4:$C$15,3,FALSE)</f>
        <v>#N/A</v>
      </c>
      <c r="G339" s="15" t="e">
        <f>VLOOKUP(IF('ブロック表'!$D$16=9,ゲームNo!$C326,IF('ブロック表'!$D$16=10,ゲームNo!$I326,IF('ブロック表'!$D$16=11,ゲームNo!$O326,ゲームNo!$U326))),'ブロック表'!$A$4:$N$15,11,FALSE)</f>
        <v>#N/A</v>
      </c>
      <c r="H339" s="82"/>
      <c r="I339" s="83"/>
      <c r="J339" s="84"/>
      <c r="K339" s="82"/>
      <c r="L339" s="21" t="e">
        <f>VLOOKUP(IF('ブロック表'!$D$16=9,ゲームNo!$D326,IF('ブロック表'!$D$16=10,ゲームNo!$J326,IF('ブロック表'!$D$16=11,ゲームNo!$P326,ゲームNo!$V326))),'ブロック表'!$A$4:$N$15,11,FALSE)</f>
        <v>#N/A</v>
      </c>
      <c r="M339" s="72" t="e">
        <f>VLOOKUP(IF('ブロック表'!$D$16=9,ゲームNo!$D326,IF('ブロック表'!$D$16=10,ゲームNo!$J326,IF('ブロック表'!$D$16=11,ゲームNo!$P326,ゲームNo!$V326))),'ブロック表'!$A$4:$C$15,3,FALSE)</f>
        <v>#N/A</v>
      </c>
    </row>
    <row r="340" spans="1:13" ht="14.25" customHeight="1">
      <c r="A340" s="99">
        <v>325</v>
      </c>
      <c r="B340" s="73">
        <v>65</v>
      </c>
      <c r="C340" s="133">
        <v>5</v>
      </c>
      <c r="D340" s="105" t="e">
        <f t="shared" si="10"/>
        <v>#N/A</v>
      </c>
      <c r="E340" s="105" t="e">
        <f t="shared" si="11"/>
        <v>#N/A</v>
      </c>
      <c r="F340" s="74" t="e">
        <f>VLOOKUP(IF('ブロック表'!$D$16=9,ゲームNo!$C327,IF('ブロック表'!$D$16=10,ゲームNo!$I327,IF('ブロック表'!$D$16=11,ゲームNo!$O327,ゲームNo!$U327))),'ブロック表'!$A$4:$C$15,3,FALSE)</f>
        <v>#N/A</v>
      </c>
      <c r="G340" s="17" t="e">
        <f>VLOOKUP(IF('ブロック表'!$D$16=9,ゲームNo!$C327,IF('ブロック表'!$D$16=10,ゲームNo!$I327,IF('ブロック表'!$D$16=11,ゲームNo!$O327,ゲームNo!$U327))),'ブロック表'!$A$4:$N$15,13,FALSE)</f>
        <v>#N/A</v>
      </c>
      <c r="H340" s="85"/>
      <c r="I340" s="86"/>
      <c r="J340" s="87"/>
      <c r="K340" s="85"/>
      <c r="L340" s="22" t="e">
        <f>VLOOKUP(IF('ブロック表'!$D$16=9,ゲームNo!$D327,IF('ブロック表'!$D$16=10,ゲームNo!$J327,IF('ブロック表'!$D$16=11,ゲームNo!$P327,ゲームNo!$V327))),'ブロック表'!$A$4:$N$15,13,FALSE)</f>
        <v>#N/A</v>
      </c>
      <c r="M340" s="75" t="e">
        <f>VLOOKUP(IF('ブロック表'!$D$16=9,ゲームNo!$D327,IF('ブロック表'!$D$16=10,ゲームNo!$J327,IF('ブロック表'!$D$16=11,ゲームNo!$P327,ゲームNo!$V327))),'ブロック表'!$A$4:$C$15,3,FALSE)</f>
        <v>#N/A</v>
      </c>
    </row>
    <row r="341" spans="1:13" ht="13.5" customHeight="1">
      <c r="A341" s="97">
        <v>326</v>
      </c>
      <c r="B341" s="92">
        <v>66</v>
      </c>
      <c r="C341" s="131">
        <v>1</v>
      </c>
      <c r="D341" s="106" t="e">
        <f t="shared" si="10"/>
        <v>#N/A</v>
      </c>
      <c r="E341" s="106" t="e">
        <f t="shared" si="11"/>
        <v>#N/A</v>
      </c>
      <c r="F341" s="76" t="e">
        <f>VLOOKUP(IF('ブロック表'!$D$16=9,ゲームNo!$C328,IF('ブロック表'!$D$16=10,ゲームNo!$I328,IF('ブロック表'!$D$16=11,ゲームNo!$O328,ゲームNo!$U328))),'ブロック表'!$A$4:$C$15,3,FALSE)</f>
        <v>#N/A</v>
      </c>
      <c r="G341" s="19" t="e">
        <f>VLOOKUP(IF('ブロック表'!$D$16=9,ゲームNo!$C328,IF('ブロック表'!$D$16=10,ゲームNo!$I328,IF('ブロック表'!$D$16=11,ゲームNo!$O328,ゲームNo!$U328))),'ブロック表'!$A$4:$N$15,5,FALSE)</f>
        <v>#N/A</v>
      </c>
      <c r="H341" s="88"/>
      <c r="I341" s="89"/>
      <c r="J341" s="90"/>
      <c r="K341" s="88"/>
      <c r="L341" s="20" t="e">
        <f>VLOOKUP(IF('ブロック表'!$D$16=9,ゲームNo!$D328,IF('ブロック表'!$D$16=10,ゲームNo!$J328,IF('ブロック表'!$D$16=11,ゲームNo!$P328,ゲームNo!$V328))),'ブロック表'!$A$4:$N$15,5,FALSE)</f>
        <v>#N/A</v>
      </c>
      <c r="M341" s="93" t="e">
        <f>VLOOKUP(IF('ブロック表'!$D$16=9,ゲームNo!$D328,IF('ブロック表'!$D$16=10,ゲームNo!$J328,IF('ブロック表'!$D$16=11,ゲームNo!$P328,ゲームNo!$V328))),'ブロック表'!$A$4:$C$15,3,FALSE)</f>
        <v>#N/A</v>
      </c>
    </row>
    <row r="342" spans="1:13" ht="13.5" customHeight="1">
      <c r="A342" s="98">
        <v>327</v>
      </c>
      <c r="B342" s="70">
        <v>66</v>
      </c>
      <c r="C342" s="132">
        <v>2</v>
      </c>
      <c r="D342" s="104" t="e">
        <f t="shared" si="10"/>
        <v>#N/A</v>
      </c>
      <c r="E342" s="104" t="e">
        <f t="shared" si="11"/>
        <v>#N/A</v>
      </c>
      <c r="F342" s="71" t="e">
        <f>VLOOKUP(IF('ブロック表'!$D$16=9,ゲームNo!$C329,IF('ブロック表'!$D$16=10,ゲームNo!$I329,IF('ブロック表'!$D$16=11,ゲームNo!$O329,ゲームNo!$U329))),'ブロック表'!$A$4:$C$15,3,FALSE)</f>
        <v>#N/A</v>
      </c>
      <c r="G342" s="15" t="e">
        <f>VLOOKUP(IF('ブロック表'!$D$16=9,ゲームNo!$C329,IF('ブロック表'!$D$16=10,ゲームNo!$I329,IF('ブロック表'!$D$16=11,ゲームNo!$O329,ゲームNo!$U329))),'ブロック表'!$A$4:$N$15,7,FALSE)</f>
        <v>#N/A</v>
      </c>
      <c r="H342" s="82"/>
      <c r="I342" s="83"/>
      <c r="J342" s="84"/>
      <c r="K342" s="82"/>
      <c r="L342" s="21" t="e">
        <f>VLOOKUP(IF('ブロック表'!$D$16=9,ゲームNo!$D329,IF('ブロック表'!$D$16=10,ゲームNo!$J329,IF('ブロック表'!$D$16=11,ゲームNo!$P329,ゲームNo!$V329))),'ブロック表'!$A$4:$N$15,7,FALSE)</f>
        <v>#N/A</v>
      </c>
      <c r="M342" s="72" t="e">
        <f>VLOOKUP(IF('ブロック表'!$D$16=9,ゲームNo!$D329,IF('ブロック表'!$D$16=10,ゲームNo!$J329,IF('ブロック表'!$D$16=11,ゲームNo!$P329,ゲームNo!$V329))),'ブロック表'!$A$4:$C$15,3,FALSE)</f>
        <v>#N/A</v>
      </c>
    </row>
    <row r="343" spans="1:13" ht="13.5" customHeight="1">
      <c r="A343" s="98">
        <v>328</v>
      </c>
      <c r="B343" s="70">
        <v>66</v>
      </c>
      <c r="C343" s="132">
        <v>3</v>
      </c>
      <c r="D343" s="104" t="e">
        <f t="shared" si="10"/>
        <v>#N/A</v>
      </c>
      <c r="E343" s="104" t="e">
        <f t="shared" si="11"/>
        <v>#N/A</v>
      </c>
      <c r="F343" s="71" t="e">
        <f>VLOOKUP(IF('ブロック表'!$D$16=9,ゲームNo!$C330,IF('ブロック表'!$D$16=10,ゲームNo!$I330,IF('ブロック表'!$D$16=11,ゲームNo!$O330,ゲームNo!$U330))),'ブロック表'!$A$4:$C$15,3,FALSE)</f>
        <v>#N/A</v>
      </c>
      <c r="G343" s="15" t="e">
        <f>VLOOKUP(IF('ブロック表'!$D$16=9,ゲームNo!$C330,IF('ブロック表'!$D$16=10,ゲームNo!$I330,IF('ブロック表'!$D$16=11,ゲームNo!$O330,ゲームNo!$U330))),'ブロック表'!$A$4:$N$15,9,FALSE)</f>
        <v>#N/A</v>
      </c>
      <c r="H343" s="82"/>
      <c r="I343" s="83"/>
      <c r="J343" s="84"/>
      <c r="K343" s="82"/>
      <c r="L343" s="21" t="e">
        <f>VLOOKUP(IF('ブロック表'!$D$16=9,ゲームNo!$D330,IF('ブロック表'!$D$16=10,ゲームNo!$J330,IF('ブロック表'!$D$16=11,ゲームNo!$P330,ゲームNo!$V330))),'ブロック表'!$A$4:$N$15,9,FALSE)</f>
        <v>#N/A</v>
      </c>
      <c r="M343" s="72" t="e">
        <f>VLOOKUP(IF('ブロック表'!$D$16=9,ゲームNo!$D330,IF('ブロック表'!$D$16=10,ゲームNo!$J330,IF('ブロック表'!$D$16=11,ゲームNo!$P330,ゲームNo!$V330))),'ブロック表'!$A$4:$C$15,3,FALSE)</f>
        <v>#N/A</v>
      </c>
    </row>
    <row r="344" spans="1:13" ht="13.5" customHeight="1">
      <c r="A344" s="98">
        <v>329</v>
      </c>
      <c r="B344" s="70">
        <v>66</v>
      </c>
      <c r="C344" s="132">
        <v>4</v>
      </c>
      <c r="D344" s="104" t="e">
        <f t="shared" si="10"/>
        <v>#N/A</v>
      </c>
      <c r="E344" s="104" t="e">
        <f t="shared" si="11"/>
        <v>#N/A</v>
      </c>
      <c r="F344" s="71" t="e">
        <f>VLOOKUP(IF('ブロック表'!$D$16=9,ゲームNo!$C331,IF('ブロック表'!$D$16=10,ゲームNo!$I331,IF('ブロック表'!$D$16=11,ゲームNo!$O331,ゲームNo!$U331))),'ブロック表'!$A$4:$C$15,3,FALSE)</f>
        <v>#N/A</v>
      </c>
      <c r="G344" s="15" t="e">
        <f>VLOOKUP(IF('ブロック表'!$D$16=9,ゲームNo!$C331,IF('ブロック表'!$D$16=10,ゲームNo!$I331,IF('ブロック表'!$D$16=11,ゲームNo!$O331,ゲームNo!$U331))),'ブロック表'!$A$4:$N$15,11,FALSE)</f>
        <v>#N/A</v>
      </c>
      <c r="H344" s="82"/>
      <c r="I344" s="83"/>
      <c r="J344" s="84"/>
      <c r="K344" s="82"/>
      <c r="L344" s="21" t="e">
        <f>VLOOKUP(IF('ブロック表'!$D$16=9,ゲームNo!$D331,IF('ブロック表'!$D$16=10,ゲームNo!$J331,IF('ブロック表'!$D$16=11,ゲームNo!$P331,ゲームNo!$V331))),'ブロック表'!$A$4:$N$15,11,FALSE)</f>
        <v>#N/A</v>
      </c>
      <c r="M344" s="72" t="e">
        <f>VLOOKUP(IF('ブロック表'!$D$16=9,ゲームNo!$D331,IF('ブロック表'!$D$16=10,ゲームNo!$J331,IF('ブロック表'!$D$16=11,ゲームNo!$P331,ゲームNo!$V331))),'ブロック表'!$A$4:$C$15,3,FALSE)</f>
        <v>#N/A</v>
      </c>
    </row>
    <row r="345" spans="1:13" ht="14.25" customHeight="1">
      <c r="A345" s="99">
        <v>330</v>
      </c>
      <c r="B345" s="73">
        <v>66</v>
      </c>
      <c r="C345" s="133">
        <v>5</v>
      </c>
      <c r="D345" s="105" t="e">
        <f t="shared" si="10"/>
        <v>#N/A</v>
      </c>
      <c r="E345" s="105" t="e">
        <f t="shared" si="11"/>
        <v>#N/A</v>
      </c>
      <c r="F345" s="74" t="e">
        <f>VLOOKUP(IF('ブロック表'!$D$16=9,ゲームNo!$C332,IF('ブロック表'!$D$16=10,ゲームNo!$I332,IF('ブロック表'!$D$16=11,ゲームNo!$O332,ゲームNo!$U332))),'ブロック表'!$A$4:$C$15,3,FALSE)</f>
        <v>#N/A</v>
      </c>
      <c r="G345" s="17" t="e">
        <f>VLOOKUP(IF('ブロック表'!$D$16=9,ゲームNo!$C332,IF('ブロック表'!$D$16=10,ゲームNo!$I332,IF('ブロック表'!$D$16=11,ゲームNo!$O332,ゲームNo!$U332))),'ブロック表'!$A$4:$N$15,13,FALSE)</f>
        <v>#N/A</v>
      </c>
      <c r="H345" s="85"/>
      <c r="I345" s="86"/>
      <c r="J345" s="87"/>
      <c r="K345" s="85"/>
      <c r="L345" s="22" t="e">
        <f>VLOOKUP(IF('ブロック表'!$D$16=9,ゲームNo!$D332,IF('ブロック表'!$D$16=10,ゲームNo!$J332,IF('ブロック表'!$D$16=11,ゲームNo!$P332,ゲームNo!$V332))),'ブロック表'!$A$4:$N$15,13,FALSE)</f>
        <v>#N/A</v>
      </c>
      <c r="M345" s="75" t="e">
        <f>VLOOKUP(IF('ブロック表'!$D$16=9,ゲームNo!$D332,IF('ブロック表'!$D$16=10,ゲームNo!$J332,IF('ブロック表'!$D$16=11,ゲームNo!$P332,ゲームNo!$V332))),'ブロック表'!$A$4:$C$15,3,FALSE)</f>
        <v>#N/A</v>
      </c>
    </row>
    <row r="348" spans="3:13" ht="13.5" customHeight="1">
      <c r="C348" s="10">
        <v>1</v>
      </c>
      <c r="F348" s="14" t="str">
        <f>F16</f>
        <v>和歌山</v>
      </c>
      <c r="M348" s="14" t="str">
        <f>M16</f>
        <v>滋賀</v>
      </c>
    </row>
    <row r="349" spans="3:13" ht="13.5" customHeight="1">
      <c r="C349" s="10">
        <v>2</v>
      </c>
      <c r="F349" s="14" t="str">
        <f>F21</f>
        <v>大阪A</v>
      </c>
      <c r="M349" s="14" t="str">
        <f>M21</f>
        <v>奈良</v>
      </c>
    </row>
    <row r="350" spans="3:13" ht="13.5" customHeight="1">
      <c r="C350" s="10">
        <v>3</v>
      </c>
      <c r="F350" s="14" t="str">
        <f>F26</f>
        <v>京都</v>
      </c>
      <c r="M350" s="14" t="str">
        <f>M26</f>
        <v>三重</v>
      </c>
    </row>
    <row r="351" spans="3:13" ht="13.5" customHeight="1">
      <c r="C351" s="10">
        <v>4</v>
      </c>
      <c r="F351" s="14" t="str">
        <f>F31</f>
        <v>愛知</v>
      </c>
      <c r="M351" s="14" t="str">
        <f>M31</f>
        <v>岐阜</v>
      </c>
    </row>
    <row r="352" spans="3:13" ht="13.5" customHeight="1">
      <c r="C352" s="10">
        <v>5</v>
      </c>
      <c r="F352" s="14" t="str">
        <f>F36</f>
        <v>兵庫</v>
      </c>
      <c r="M352" s="14" t="str">
        <f>M36</f>
        <v>大阪B</v>
      </c>
    </row>
    <row r="353" spans="3:13" ht="13.5" customHeight="1">
      <c r="C353" s="10">
        <v>6</v>
      </c>
      <c r="F353" s="14" t="str">
        <f>F41</f>
        <v>大阪A</v>
      </c>
      <c r="M353" s="14" t="str">
        <f>M41</f>
        <v>和歌山</v>
      </c>
    </row>
    <row r="354" spans="3:13" ht="13.5" customHeight="1">
      <c r="C354" s="10">
        <v>7</v>
      </c>
      <c r="F354" s="14" t="str">
        <f>F46</f>
        <v>京都</v>
      </c>
      <c r="M354" s="14" t="str">
        <f>M46</f>
        <v>滋賀</v>
      </c>
    </row>
    <row r="355" spans="3:13" ht="13.5" customHeight="1">
      <c r="C355" s="10">
        <v>8</v>
      </c>
      <c r="F355" s="14" t="str">
        <f>F51</f>
        <v>愛知</v>
      </c>
      <c r="M355" s="14" t="str">
        <f>M51</f>
        <v>奈良</v>
      </c>
    </row>
    <row r="356" spans="3:13" ht="13.5" customHeight="1">
      <c r="C356" s="10">
        <v>9</v>
      </c>
      <c r="F356" s="14" t="str">
        <f>F56</f>
        <v>大阪B</v>
      </c>
      <c r="M356" s="14" t="str">
        <f>M56</f>
        <v>三重</v>
      </c>
    </row>
    <row r="357" spans="3:13" ht="13.5" customHeight="1">
      <c r="C357" s="10">
        <v>10</v>
      </c>
      <c r="F357" s="14" t="str">
        <f>F61</f>
        <v>兵庫</v>
      </c>
      <c r="M357" s="14" t="str">
        <f>M61</f>
        <v>岐阜</v>
      </c>
    </row>
    <row r="358" spans="3:13" ht="13.5" customHeight="1">
      <c r="C358" s="10">
        <v>11</v>
      </c>
      <c r="F358" s="14" t="str">
        <f>F66</f>
        <v>京都</v>
      </c>
      <c r="M358" s="14" t="str">
        <f>M66</f>
        <v>大阪A</v>
      </c>
    </row>
    <row r="359" spans="3:13" ht="13.5" customHeight="1">
      <c r="C359" s="10">
        <v>12</v>
      </c>
      <c r="F359" s="14" t="str">
        <f>F71</f>
        <v>愛知</v>
      </c>
      <c r="M359" s="14" t="str">
        <f>M71</f>
        <v>和歌山</v>
      </c>
    </row>
    <row r="360" spans="3:13" ht="13.5" customHeight="1">
      <c r="C360" s="10">
        <v>13</v>
      </c>
      <c r="F360" s="14" t="str">
        <f>F76</f>
        <v>大阪B</v>
      </c>
      <c r="M360" s="14" t="str">
        <f>M76</f>
        <v>滋賀</v>
      </c>
    </row>
    <row r="361" spans="3:13" ht="13.5" customHeight="1">
      <c r="C361" s="10">
        <v>14</v>
      </c>
      <c r="F361" s="14" t="str">
        <f>F81</f>
        <v>岐阜</v>
      </c>
      <c r="M361" s="14" t="str">
        <f>M81</f>
        <v>奈良</v>
      </c>
    </row>
    <row r="362" spans="3:13" ht="13.5" customHeight="1">
      <c r="C362" s="10">
        <v>15</v>
      </c>
      <c r="F362" s="14" t="str">
        <f>F86</f>
        <v>兵庫</v>
      </c>
      <c r="M362" s="14" t="str">
        <f>M86</f>
        <v>三重</v>
      </c>
    </row>
    <row r="363" spans="3:13" ht="13.5" customHeight="1">
      <c r="C363" s="10">
        <v>16</v>
      </c>
      <c r="F363" s="14" t="str">
        <f>F91</f>
        <v>愛知</v>
      </c>
      <c r="M363" s="14" t="str">
        <f>M91</f>
        <v>京都</v>
      </c>
    </row>
    <row r="364" spans="3:13" ht="13.5" customHeight="1">
      <c r="C364" s="10">
        <v>17</v>
      </c>
      <c r="F364" s="14" t="str">
        <f>F96</f>
        <v>大阪B</v>
      </c>
      <c r="M364" s="14" t="str">
        <f>M96</f>
        <v>大阪A</v>
      </c>
    </row>
    <row r="365" spans="3:13" ht="13.5" customHeight="1">
      <c r="C365" s="10">
        <v>18</v>
      </c>
      <c r="F365" s="14" t="str">
        <f>F101</f>
        <v>岐阜</v>
      </c>
      <c r="M365" s="14" t="str">
        <f>M101</f>
        <v>和歌山</v>
      </c>
    </row>
    <row r="366" spans="3:13" ht="13.5" customHeight="1">
      <c r="C366" s="10">
        <v>19</v>
      </c>
      <c r="F366" s="14" t="str">
        <f>F106</f>
        <v>三重</v>
      </c>
      <c r="M366" s="14" t="str">
        <f>M106</f>
        <v>滋賀</v>
      </c>
    </row>
    <row r="367" spans="3:13" ht="13.5" customHeight="1">
      <c r="C367" s="10">
        <v>20</v>
      </c>
      <c r="F367" s="14" t="str">
        <f>F111</f>
        <v>兵庫</v>
      </c>
      <c r="M367" s="14" t="str">
        <f>M111</f>
        <v>奈良</v>
      </c>
    </row>
    <row r="368" spans="3:13" ht="13.5" customHeight="1">
      <c r="C368" s="10">
        <v>21</v>
      </c>
      <c r="F368" s="14" t="str">
        <f>F116</f>
        <v>大阪B</v>
      </c>
      <c r="M368" s="14" t="str">
        <f>M116</f>
        <v>愛知</v>
      </c>
    </row>
    <row r="369" spans="3:13" ht="13.5" customHeight="1">
      <c r="C369" s="10">
        <v>22</v>
      </c>
      <c r="F369" s="14" t="str">
        <f>F121</f>
        <v>岐阜</v>
      </c>
      <c r="M369" s="14" t="str">
        <f>M121</f>
        <v>京都</v>
      </c>
    </row>
    <row r="370" spans="3:13" ht="13.5" customHeight="1">
      <c r="C370" s="10">
        <v>23</v>
      </c>
      <c r="F370" s="14" t="str">
        <f>F126</f>
        <v>三重</v>
      </c>
      <c r="M370" s="14" t="str">
        <f>M126</f>
        <v>大阪A</v>
      </c>
    </row>
    <row r="371" spans="3:13" ht="13.5" customHeight="1">
      <c r="C371" s="10">
        <v>24</v>
      </c>
      <c r="F371" s="14" t="str">
        <f>F131</f>
        <v>奈良</v>
      </c>
      <c r="M371" s="14" t="str">
        <f>M131</f>
        <v>和歌山</v>
      </c>
    </row>
    <row r="372" spans="3:13" ht="13.5" customHeight="1">
      <c r="C372" s="10">
        <v>25</v>
      </c>
      <c r="F372" s="14" t="str">
        <f>F136</f>
        <v>兵庫</v>
      </c>
      <c r="M372" s="14" t="str">
        <f>M136</f>
        <v>滋賀</v>
      </c>
    </row>
    <row r="373" spans="3:13" ht="13.5" customHeight="1">
      <c r="C373" s="10">
        <v>26</v>
      </c>
      <c r="F373" s="14" t="str">
        <f>F141</f>
        <v>岐阜</v>
      </c>
      <c r="M373" s="14" t="str">
        <f>M141</f>
        <v>大阪B</v>
      </c>
    </row>
    <row r="374" spans="3:13" ht="13.5" customHeight="1">
      <c r="C374" s="10">
        <v>27</v>
      </c>
      <c r="F374" s="14" t="str">
        <f>F146</f>
        <v>三重</v>
      </c>
      <c r="M374" s="14" t="str">
        <f>M146</f>
        <v>愛知</v>
      </c>
    </row>
    <row r="375" spans="3:13" ht="13.5" customHeight="1">
      <c r="C375" s="10">
        <v>28</v>
      </c>
      <c r="F375" s="14" t="str">
        <f>F151</f>
        <v>奈良</v>
      </c>
      <c r="M375" s="14" t="str">
        <f>M151</f>
        <v>京都</v>
      </c>
    </row>
    <row r="376" spans="3:13" ht="13.5" customHeight="1">
      <c r="C376" s="10">
        <v>29</v>
      </c>
      <c r="F376" s="14" t="str">
        <f>F156</f>
        <v>滋賀</v>
      </c>
      <c r="M376" s="14" t="str">
        <f>M156</f>
        <v>大阪A</v>
      </c>
    </row>
    <row r="377" spans="3:13" ht="13.5" customHeight="1">
      <c r="C377" s="10">
        <v>30</v>
      </c>
      <c r="F377" s="14" t="str">
        <f>F161</f>
        <v>兵庫</v>
      </c>
      <c r="M377" s="14" t="str">
        <f>M161</f>
        <v>和歌山</v>
      </c>
    </row>
    <row r="378" spans="3:13" ht="13.5" customHeight="1">
      <c r="C378" s="10">
        <v>31</v>
      </c>
      <c r="F378" s="14" t="str">
        <f>F166</f>
        <v>三重</v>
      </c>
      <c r="M378" s="14" t="str">
        <f>M166</f>
        <v>岐阜</v>
      </c>
    </row>
    <row r="379" spans="3:13" ht="13.5" customHeight="1">
      <c r="C379" s="10">
        <v>32</v>
      </c>
      <c r="F379" s="14" t="str">
        <f>F171</f>
        <v>奈良</v>
      </c>
      <c r="M379" s="14" t="str">
        <f>M171</f>
        <v>大阪B</v>
      </c>
    </row>
    <row r="380" spans="3:13" ht="13.5" customHeight="1">
      <c r="C380" s="10">
        <v>33</v>
      </c>
      <c r="F380" s="14" t="str">
        <f>F176</f>
        <v>滋賀</v>
      </c>
      <c r="M380" s="14" t="str">
        <f>M176</f>
        <v>愛知</v>
      </c>
    </row>
    <row r="381" spans="3:13" ht="13.5" customHeight="1">
      <c r="C381" s="10">
        <v>34</v>
      </c>
      <c r="F381" s="14" t="str">
        <f>F181</f>
        <v>和歌山</v>
      </c>
      <c r="M381" s="14" t="str">
        <f>M181</f>
        <v>京都</v>
      </c>
    </row>
    <row r="382" spans="3:13" ht="13.5" customHeight="1">
      <c r="C382" s="10">
        <v>35</v>
      </c>
      <c r="F382" s="14" t="str">
        <f>F186</f>
        <v>兵庫</v>
      </c>
      <c r="M382" s="14" t="str">
        <f>M186</f>
        <v>大阪A</v>
      </c>
    </row>
    <row r="383" spans="3:13" ht="13.5" customHeight="1">
      <c r="C383" s="10">
        <v>36</v>
      </c>
      <c r="F383" s="14" t="str">
        <f>F191</f>
        <v>奈良</v>
      </c>
      <c r="M383" s="14" t="str">
        <f>M191</f>
        <v>三重</v>
      </c>
    </row>
    <row r="384" spans="3:13" ht="13.5" customHeight="1">
      <c r="C384" s="10">
        <v>37</v>
      </c>
      <c r="F384" s="14" t="str">
        <f>F196</f>
        <v>滋賀</v>
      </c>
      <c r="M384" s="14" t="str">
        <f>M196</f>
        <v>岐阜</v>
      </c>
    </row>
    <row r="385" spans="3:13" ht="13.5" customHeight="1">
      <c r="C385" s="10">
        <v>38</v>
      </c>
      <c r="F385" s="14" t="str">
        <f>F201</f>
        <v>和歌山</v>
      </c>
      <c r="M385" s="14" t="str">
        <f>M201</f>
        <v>大阪B</v>
      </c>
    </row>
    <row r="386" spans="3:13" ht="13.5" customHeight="1">
      <c r="C386" s="10">
        <v>39</v>
      </c>
      <c r="F386" s="14" t="str">
        <f>F206</f>
        <v>大阪A</v>
      </c>
      <c r="M386" s="14" t="str">
        <f>M206</f>
        <v>愛知</v>
      </c>
    </row>
    <row r="387" spans="3:13" ht="13.5" customHeight="1">
      <c r="C387" s="10">
        <v>40</v>
      </c>
      <c r="F387" s="14" t="str">
        <f>F211</f>
        <v>兵庫</v>
      </c>
      <c r="M387" s="14" t="str">
        <f>M211</f>
        <v>京都</v>
      </c>
    </row>
    <row r="388" spans="3:13" ht="13.5" customHeight="1">
      <c r="C388" s="10">
        <v>41</v>
      </c>
      <c r="F388" s="14" t="str">
        <f>F216</f>
        <v>滋賀</v>
      </c>
      <c r="M388" s="14" t="str">
        <f>M216</f>
        <v>奈良</v>
      </c>
    </row>
    <row r="389" spans="3:13" ht="13.5" customHeight="1">
      <c r="C389" s="10">
        <v>42</v>
      </c>
      <c r="F389" s="14" t="str">
        <f>F221</f>
        <v>和歌山</v>
      </c>
      <c r="M389" s="14" t="str">
        <f>M221</f>
        <v>三重</v>
      </c>
    </row>
    <row r="390" spans="3:13" ht="13.5" customHeight="1">
      <c r="C390" s="10">
        <v>43</v>
      </c>
      <c r="F390" s="14" t="str">
        <f>F226</f>
        <v>大阪A</v>
      </c>
      <c r="M390" s="14" t="str">
        <f>M226</f>
        <v>岐阜</v>
      </c>
    </row>
    <row r="391" spans="3:13" ht="13.5" customHeight="1">
      <c r="C391" s="10">
        <v>44</v>
      </c>
      <c r="F391" s="14" t="str">
        <f>F231</f>
        <v>京都</v>
      </c>
      <c r="M391" s="14" t="str">
        <f>M231</f>
        <v>大阪B</v>
      </c>
    </row>
    <row r="392" spans="3:13" ht="13.5" customHeight="1">
      <c r="C392" s="10">
        <v>45</v>
      </c>
      <c r="F392" s="14" t="str">
        <f>F236</f>
        <v>兵庫</v>
      </c>
      <c r="M392" s="14" t="str">
        <f>M236</f>
        <v>愛知</v>
      </c>
    </row>
    <row r="393" spans="3:13" ht="13.5" customHeight="1">
      <c r="C393" s="10">
        <v>46</v>
      </c>
      <c r="F393" s="14" t="e">
        <f>F241</f>
        <v>#N/A</v>
      </c>
      <c r="M393" s="14" t="e">
        <f>M241</f>
        <v>#N/A</v>
      </c>
    </row>
    <row r="394" spans="3:13" ht="13.5" customHeight="1">
      <c r="C394" s="10">
        <v>47</v>
      </c>
      <c r="F394" s="14" t="e">
        <f>F246</f>
        <v>#N/A</v>
      </c>
      <c r="M394" s="14" t="e">
        <f>M246</f>
        <v>#N/A</v>
      </c>
    </row>
    <row r="395" spans="3:13" ht="13.5" customHeight="1">
      <c r="C395" s="10">
        <v>48</v>
      </c>
      <c r="F395" s="14" t="e">
        <f>F251</f>
        <v>#N/A</v>
      </c>
      <c r="M395" s="14" t="e">
        <f>M251</f>
        <v>#N/A</v>
      </c>
    </row>
    <row r="396" spans="3:13" ht="13.5" customHeight="1">
      <c r="C396" s="10">
        <v>49</v>
      </c>
      <c r="F396" s="14" t="e">
        <f>F256</f>
        <v>#N/A</v>
      </c>
      <c r="M396" s="14" t="e">
        <f>M256</f>
        <v>#N/A</v>
      </c>
    </row>
    <row r="397" spans="3:13" ht="13.5" customHeight="1">
      <c r="C397" s="10">
        <v>50</v>
      </c>
      <c r="F397" s="14" t="e">
        <f>F261</f>
        <v>#N/A</v>
      </c>
      <c r="M397" s="14" t="e">
        <f>M261</f>
        <v>#N/A</v>
      </c>
    </row>
    <row r="398" spans="3:13" ht="13.5" customHeight="1">
      <c r="C398" s="10">
        <v>51</v>
      </c>
      <c r="F398" s="14" t="e">
        <f>F266</f>
        <v>#N/A</v>
      </c>
      <c r="M398" s="14" t="e">
        <f>M266</f>
        <v>#N/A</v>
      </c>
    </row>
    <row r="399" spans="3:13" ht="13.5" customHeight="1">
      <c r="C399" s="10">
        <v>52</v>
      </c>
      <c r="F399" s="14" t="e">
        <f>F271</f>
        <v>#N/A</v>
      </c>
      <c r="M399" s="14" t="e">
        <f>M271</f>
        <v>#N/A</v>
      </c>
    </row>
    <row r="400" spans="3:13" ht="13.5" customHeight="1">
      <c r="C400" s="10">
        <v>53</v>
      </c>
      <c r="F400" s="14" t="e">
        <f>F276</f>
        <v>#N/A</v>
      </c>
      <c r="M400" s="14" t="e">
        <f>M276</f>
        <v>#N/A</v>
      </c>
    </row>
    <row r="401" spans="3:13" ht="13.5" customHeight="1">
      <c r="C401" s="10">
        <v>54</v>
      </c>
      <c r="F401" s="14" t="e">
        <f>F281</f>
        <v>#N/A</v>
      </c>
      <c r="M401" s="14" t="e">
        <f>M281</f>
        <v>#N/A</v>
      </c>
    </row>
    <row r="402" spans="3:13" ht="13.5" customHeight="1">
      <c r="C402" s="10">
        <v>55</v>
      </c>
      <c r="F402" s="14" t="e">
        <f>F286</f>
        <v>#N/A</v>
      </c>
      <c r="M402" s="14" t="e">
        <f>M286</f>
        <v>#N/A</v>
      </c>
    </row>
    <row r="403" ht="13.5" customHeight="1">
      <c r="M403" s="14"/>
    </row>
  </sheetData>
  <sheetProtection/>
  <conditionalFormatting sqref="P17:P345 G16:G345 B16:E345">
    <cfRule type="cellIs" priority="1" dxfId="2" operator="equal" stopIfTrue="1">
      <formula>IJ14</formula>
    </cfRule>
  </conditionalFormatting>
  <conditionalFormatting sqref="F349:F402 M349:M402">
    <cfRule type="cellIs" priority="2" dxfId="0" operator="equal" stopIfTrue="1">
      <formula>F348</formula>
    </cfRule>
  </conditionalFormatting>
  <dataValidations count="1">
    <dataValidation allowBlank="1" showInputMessage="1" showErrorMessage="1" sqref="H16:K207"/>
  </dataValidations>
  <printOptions horizontalCentered="1"/>
  <pageMargins left="0" right="0" top="0.7868055555555555" bottom="0.9840277777777777" header="0.5111111111111111" footer="0.5111111111111111"/>
  <pageSetup fitToHeight="2" fitToWidth="65535" horizontalDpi="300" verticalDpi="300" orientation="portrait" pageOrder="overThenDown" paperSize="9" scale="10" r:id="rId1"/>
  <headerFooter alignWithMargins="0">
    <oddFooter>&amp;R&amp;F　　&amp;A　　　&amp;P　/　&amp;N</oddFooter>
  </headerFooter>
  <rowBreaks count="3" manualBreakCount="3">
    <brk id="125" max="255" man="1"/>
    <brk id="235" max="255" man="1"/>
    <brk id="29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16"/>
  <sheetViews>
    <sheetView zoomScaleSheetLayoutView="100" zoomScalePageLayoutView="0" workbookViewId="0" topLeftCell="A1">
      <selection activeCell="C13" sqref="C13"/>
    </sheetView>
  </sheetViews>
  <sheetFormatPr defaultColWidth="7.875" defaultRowHeight="13.5"/>
  <cols>
    <col min="1" max="1" width="3.50390625" style="2" customWidth="1" collapsed="1"/>
    <col min="2" max="2" width="3.50390625" style="2" hidden="1" customWidth="1"/>
    <col min="3" max="3" width="5.625" style="2" customWidth="1"/>
    <col min="4" max="4" width="6.25390625" style="11" customWidth="1"/>
    <col min="5" max="5" width="9.125" style="2" customWidth="1"/>
    <col min="6" max="6" width="9.75390625" style="2" customWidth="1"/>
    <col min="7" max="7" width="9.125" style="2" customWidth="1"/>
    <col min="8" max="8" width="9.75390625" style="11" customWidth="1"/>
    <col min="9" max="9" width="9.125" style="2" customWidth="1"/>
    <col min="10" max="10" width="9.75390625" style="2" customWidth="1"/>
    <col min="11" max="11" width="9.125" style="2" customWidth="1"/>
    <col min="12" max="12" width="9.75390625" style="11" customWidth="1"/>
    <col min="13" max="13" width="9.125" style="2" customWidth="1"/>
    <col min="14" max="14" width="9.75390625" style="2" customWidth="1"/>
    <col min="15" max="15" width="7.75390625" style="2" customWidth="1" collapsed="1"/>
    <col min="16" max="16" width="7.75390625" style="11" customWidth="1"/>
    <col min="17" max="18" width="7.75390625" style="2" customWidth="1"/>
    <col min="19" max="20" width="7.875" style="2" customWidth="1"/>
    <col min="21" max="21" width="4.125" style="2" customWidth="1"/>
    <col min="22" max="22" width="2.25390625" style="2" customWidth="1"/>
    <col min="23" max="16384" width="7.875" style="2" customWidth="1"/>
  </cols>
  <sheetData>
    <row r="1" spans="1:16" s="32" customFormat="1" ht="17.25" customHeight="1">
      <c r="A1" s="28" t="s">
        <v>60</v>
      </c>
      <c r="B1" s="3"/>
      <c r="C1" s="30"/>
      <c r="D1" s="31"/>
      <c r="E1" s="30"/>
      <c r="F1" s="30"/>
      <c r="G1" s="30"/>
      <c r="H1" s="31"/>
      <c r="I1" s="30"/>
      <c r="J1" s="30"/>
      <c r="K1" s="30"/>
      <c r="L1" s="31"/>
      <c r="M1" s="30"/>
      <c r="N1" s="30"/>
      <c r="O1" s="30"/>
      <c r="P1" s="31"/>
    </row>
    <row r="2" spans="1:16" s="32" customFormat="1" ht="18" customHeight="1">
      <c r="A2" s="28"/>
      <c r="B2" s="3"/>
      <c r="C2" s="30"/>
      <c r="D2" s="31"/>
      <c r="E2" s="30"/>
      <c r="F2" s="30"/>
      <c r="G2" s="30"/>
      <c r="H2" s="31"/>
      <c r="I2" s="30"/>
      <c r="J2" s="30"/>
      <c r="K2" s="30"/>
      <c r="L2" s="31"/>
      <c r="M2" s="30"/>
      <c r="N2" s="30"/>
      <c r="O2" s="30"/>
      <c r="P2" s="31"/>
    </row>
    <row r="3" spans="1:24" s="32" customFormat="1" ht="12.75" customHeight="1">
      <c r="A3" s="399" t="s">
        <v>61</v>
      </c>
      <c r="B3" s="400"/>
      <c r="C3" s="400"/>
      <c r="D3" s="33" t="s">
        <v>62</v>
      </c>
      <c r="E3" s="34">
        <v>1</v>
      </c>
      <c r="F3" s="35"/>
      <c r="G3" s="35">
        <v>2</v>
      </c>
      <c r="H3" s="35"/>
      <c r="I3" s="35">
        <v>3</v>
      </c>
      <c r="J3" s="35"/>
      <c r="K3" s="35">
        <v>4</v>
      </c>
      <c r="L3" s="35"/>
      <c r="M3" s="35">
        <v>5</v>
      </c>
      <c r="N3" s="36"/>
      <c r="V3" s="11"/>
      <c r="W3" s="11" t="s">
        <v>63</v>
      </c>
      <c r="X3" s="32" t="s">
        <v>64</v>
      </c>
    </row>
    <row r="4" spans="1:24" s="32" customFormat="1" ht="12" customHeight="1">
      <c r="A4" s="37">
        <v>1</v>
      </c>
      <c r="B4" s="38">
        <v>1</v>
      </c>
      <c r="C4" s="39" t="str">
        <f>'①（準備）選手登録'!C16</f>
        <v>兵庫</v>
      </c>
      <c r="D4" s="40" t="str">
        <f>IF(C4="","",VLOOKUP(C4,'選手ID'!$B$5:$C$29,2,FALSE))</f>
        <v>01</v>
      </c>
      <c r="E4" s="41" t="str">
        <f>VLOOKUP($D4&amp;E$3,'選手ID'!$J$5:$O$74,5,FALSE)</f>
        <v>高木 俊行</v>
      </c>
      <c r="F4" s="42" t="str">
        <f>VLOOKUP($D4&amp;E$3,'選手ID'!$J$5:$O$74,6,FALSE)</f>
        <v>ﾀｶｷﾞ 　ﾄｼﾕｷ</v>
      </c>
      <c r="G4" s="43" t="str">
        <f>VLOOKUP($D4&amp;G$3,'選手ID'!$J$5:$O$74,5,FALSE)</f>
        <v>堂園 雅也</v>
      </c>
      <c r="H4" s="42" t="str">
        <f>VLOOKUP($D4&amp;G$3,'選手ID'!$J$5:$O$74,6,FALSE)</f>
        <v>ﾄﾞｳｿﾞﾉ 　ﾏｻﾔ</v>
      </c>
      <c r="I4" s="43" t="str">
        <f>VLOOKUP($D4&amp;I$3,'選手ID'!$J$5:$O$74,5,FALSE)</f>
        <v>森 映智</v>
      </c>
      <c r="J4" s="42" t="str">
        <f>VLOOKUP($D4&amp;I$3,'選手ID'!$J$5:$O$74,6,FALSE)</f>
        <v>ﾓﾘ 　ｱｷﾄｼ</v>
      </c>
      <c r="K4" s="43" t="str">
        <f>VLOOKUP($D4&amp;K$3,'選手ID'!$J$5:$O$74,5,FALSE)</f>
        <v>白澤 雄一郎</v>
      </c>
      <c r="L4" s="42" t="str">
        <f>VLOOKUP($D4&amp;K$3,'選手ID'!$J$5:$O$74,6,FALSE)</f>
        <v>ｼﾗｻﾞﾜ 　ﾕｳｲﾁﾛｳ</v>
      </c>
      <c r="M4" s="43" t="str">
        <f>VLOOKUP($D4&amp;M$3,'選手ID'!$J$5:$O$74,5,FALSE)</f>
        <v>平井 洸志</v>
      </c>
      <c r="N4" s="44" t="str">
        <f>VLOOKUP($D4&amp;M$3,'選手ID'!$J$5:$O$74,6,FALSE)</f>
        <v>ﾋﾗｲ 　ｺｳｼ</v>
      </c>
      <c r="U4" s="11" t="s">
        <v>65</v>
      </c>
      <c r="V4" s="2"/>
      <c r="W4" s="11" t="s">
        <v>14</v>
      </c>
      <c r="X4" s="2" t="s">
        <v>14</v>
      </c>
    </row>
    <row r="5" spans="1:23" s="32" customFormat="1" ht="12" customHeight="1">
      <c r="A5" s="45">
        <v>2</v>
      </c>
      <c r="B5" s="46">
        <v>2</v>
      </c>
      <c r="C5" s="47" t="str">
        <f>'①（準備）選手登録'!C18</f>
        <v>愛知</v>
      </c>
      <c r="D5" s="48" t="str">
        <f>IF(C5="","",VLOOKUP(C5,'選手ID'!$B$5:$C$29,2,FALSE))</f>
        <v>02</v>
      </c>
      <c r="E5" s="49" t="str">
        <f>VLOOKUP($D5&amp;E$3,'選手ID'!$J$5:$O$74,5,FALSE)</f>
        <v>小川 晃</v>
      </c>
      <c r="F5" s="50" t="str">
        <f>VLOOKUP($D5&amp;E$3,'選手ID'!$J$5:$O$74,6,FALSE)</f>
        <v>ｵｶﾞﾜ 　ｺｳ</v>
      </c>
      <c r="G5" s="51" t="str">
        <f>VLOOKUP($D5&amp;G$3,'選手ID'!$J$5:$O$74,5,FALSE)</f>
        <v>櫻井 崇之</v>
      </c>
      <c r="H5" s="50" t="str">
        <f>VLOOKUP($D5&amp;G$3,'選手ID'!$J$5:$O$74,6,FALSE)</f>
        <v>ｻｸﾗｲ 　ﾀｶﾕｷ</v>
      </c>
      <c r="I5" s="51" t="str">
        <f>VLOOKUP($D5&amp;I$3,'選手ID'!$J$5:$O$74,5,FALSE)</f>
        <v>野田 絢也</v>
      </c>
      <c r="J5" s="50" t="str">
        <f>VLOOKUP($D5&amp;I$3,'選手ID'!$J$5:$O$74,6,FALSE)</f>
        <v>ﾉﾀﾞ 　ｼﾞｭﾝﾔ</v>
      </c>
      <c r="K5" s="51" t="str">
        <f>VLOOKUP($D5&amp;K$3,'選手ID'!$J$5:$O$74,5,FALSE)</f>
        <v>近藤 智靖</v>
      </c>
      <c r="L5" s="50" t="str">
        <f>VLOOKUP($D5&amp;K$3,'選手ID'!$J$5:$O$74,6,FALSE)</f>
        <v>ｺﾝﾄﾞｳ 　ﾄﾓﾔｽ</v>
      </c>
      <c r="M5" s="51" t="str">
        <f>VLOOKUP($D5&amp;M$3,'選手ID'!$J$5:$O$74,5,FALSE)</f>
        <v>島田 隆嗣</v>
      </c>
      <c r="N5" s="52" t="str">
        <f>VLOOKUP($D5&amp;M$3,'選手ID'!$J$5:$O$74,6,FALSE)</f>
        <v>ｼﾏﾀﾞ 　ﾘｭｳｼﾞ</v>
      </c>
      <c r="U5" s="11">
        <v>1</v>
      </c>
      <c r="V5" s="2"/>
      <c r="W5" s="11" t="s">
        <v>20</v>
      </c>
    </row>
    <row r="6" spans="1:23" s="32" customFormat="1" ht="12" customHeight="1">
      <c r="A6" s="45">
        <v>3</v>
      </c>
      <c r="B6" s="46">
        <v>3</v>
      </c>
      <c r="C6" s="47" t="str">
        <f>'①（準備）選手登録'!C20</f>
        <v>京都</v>
      </c>
      <c r="D6" s="48" t="str">
        <f>IF(C6="","",VLOOKUP(C6,'選手ID'!$B$5:$C$29,2,FALSE))</f>
        <v>03</v>
      </c>
      <c r="E6" s="49" t="str">
        <f>VLOOKUP($D6&amp;E$3,'選手ID'!$J$5:$O$74,5,FALSE)</f>
        <v>今村 哲也</v>
      </c>
      <c r="F6" s="50" t="str">
        <f>VLOOKUP($D6&amp;E$3,'選手ID'!$J$5:$O$74,6,FALSE)</f>
        <v>ｲﾏﾑﾗ 　ﾃﾂﾔ</v>
      </c>
      <c r="G6" s="51" t="str">
        <f>VLOOKUP($D6&amp;G$3,'選手ID'!$J$5:$O$74,5,FALSE)</f>
        <v>田附 裕次</v>
      </c>
      <c r="H6" s="50" t="str">
        <f>VLOOKUP($D6&amp;G$3,'選手ID'!$J$5:$O$74,6,FALSE)</f>
        <v>ﾀﾂﾞｹ 　ﾕｳｼﾞ</v>
      </c>
      <c r="I6" s="51" t="str">
        <f>VLOOKUP($D6&amp;I$3,'選手ID'!$J$5:$O$74,5,FALSE)</f>
        <v>佐藤 雄吾</v>
      </c>
      <c r="J6" s="50" t="str">
        <f>VLOOKUP($D6&amp;I$3,'選手ID'!$J$5:$O$74,6,FALSE)</f>
        <v>ｻﾄｳ 　ﾕｳｺﾞ</v>
      </c>
      <c r="K6" s="51" t="str">
        <f>VLOOKUP($D6&amp;K$3,'選手ID'!$J$5:$O$74,5,FALSE)</f>
        <v>加藤 秀万</v>
      </c>
      <c r="L6" s="50" t="str">
        <f>VLOOKUP($D6&amp;K$3,'選手ID'!$J$5:$O$74,6,FALSE)</f>
        <v>ｶﾄｳ 　ｼｭｳﾏﾝ</v>
      </c>
      <c r="M6" s="51" t="str">
        <f>VLOOKUP($D6&amp;M$3,'選手ID'!$J$5:$O$74,5,FALSE)</f>
        <v>山下 直生</v>
      </c>
      <c r="N6" s="52" t="str">
        <f>VLOOKUP($D6&amp;M$3,'選手ID'!$J$5:$O$74,6,FALSE)</f>
        <v>ﾔﾏｼﾀ 　ﾅｵｷ</v>
      </c>
      <c r="U6" s="11">
        <v>2</v>
      </c>
      <c r="V6" s="2"/>
      <c r="W6" s="11" t="s">
        <v>66</v>
      </c>
    </row>
    <row r="7" spans="1:23" s="32" customFormat="1" ht="12" customHeight="1">
      <c r="A7" s="45">
        <v>4</v>
      </c>
      <c r="B7" s="46">
        <v>4</v>
      </c>
      <c r="C7" s="47" t="str">
        <f>'①（準備）選手登録'!C22</f>
        <v>大阪A</v>
      </c>
      <c r="D7" s="48" t="str">
        <f>IF(C7="","",VLOOKUP(C7,'選手ID'!$B$5:$C$29,2,FALSE))</f>
        <v>04</v>
      </c>
      <c r="E7" s="49" t="str">
        <f>VLOOKUP($D7&amp;E$3,'選手ID'!$J$5:$O$74,5,FALSE)</f>
        <v>村上 泰辰</v>
      </c>
      <c r="F7" s="50" t="str">
        <f>VLOOKUP($D7&amp;E$3,'選手ID'!$J$5:$O$74,6,FALSE)</f>
        <v>ﾑﾗｶﾐ 　ﾔｽﾖｼ</v>
      </c>
      <c r="G7" s="51" t="str">
        <f>VLOOKUP($D7&amp;G$3,'選手ID'!$J$5:$O$74,5,FALSE)</f>
        <v>山岡 修二</v>
      </c>
      <c r="H7" s="50" t="str">
        <f>VLOOKUP($D7&amp;G$3,'選手ID'!$J$5:$O$74,6,FALSE)</f>
        <v>ﾔﾏｵｶ 　ｼｭｳｼﾞ</v>
      </c>
      <c r="I7" s="51" t="str">
        <f>VLOOKUP($D7&amp;I$3,'選手ID'!$J$5:$O$74,5,FALSE)</f>
        <v>吉岡 保俊</v>
      </c>
      <c r="J7" s="50" t="str">
        <f>VLOOKUP($D7&amp;I$3,'選手ID'!$J$5:$O$74,6,FALSE)</f>
        <v>ﾖｼｵｶ 　ﾔｽﾄｼ</v>
      </c>
      <c r="K7" s="51" t="str">
        <f>VLOOKUP($D7&amp;K$3,'選手ID'!$J$5:$O$74,5,FALSE)</f>
        <v>乾 伸綱</v>
      </c>
      <c r="L7" s="50" t="str">
        <f>VLOOKUP($D7&amp;K$3,'選手ID'!$J$5:$O$74,6,FALSE)</f>
        <v>ｲﾇｲ 　ﾉﾌﾞﾂﾅ</v>
      </c>
      <c r="M7" s="51" t="str">
        <f>VLOOKUP($D7&amp;M$3,'選手ID'!$J$5:$O$74,5,FALSE)</f>
        <v>山田 玄英</v>
      </c>
      <c r="N7" s="52" t="str">
        <f>VLOOKUP($D7&amp;M$3,'選手ID'!$J$5:$O$74,6,FALSE)</f>
        <v>ﾔﾏﾀﾞ 　ﾐﾁﾋﾃﾞ</v>
      </c>
      <c r="U7" s="11">
        <v>3</v>
      </c>
      <c r="V7" s="2"/>
      <c r="W7" s="11" t="s">
        <v>21</v>
      </c>
    </row>
    <row r="8" spans="1:23" s="32" customFormat="1" ht="12" customHeight="1">
      <c r="A8" s="45">
        <v>5</v>
      </c>
      <c r="B8" s="46">
        <v>5</v>
      </c>
      <c r="C8" s="47" t="str">
        <f>'①（準備）選手登録'!C24</f>
        <v>和歌山</v>
      </c>
      <c r="D8" s="48" t="str">
        <f>IF(C8="","",VLOOKUP(C8,'選手ID'!$B$5:$C$29,2,FALSE))</f>
        <v>05</v>
      </c>
      <c r="E8" s="49" t="str">
        <f>VLOOKUP($D8&amp;E$3,'選手ID'!$J$5:$O$74,5,FALSE)</f>
        <v>岸上 賢一</v>
      </c>
      <c r="F8" s="50" t="str">
        <f>VLOOKUP($D8&amp;E$3,'選手ID'!$J$5:$O$74,6,FALSE)</f>
        <v>ｷｼｶﾞﾐ 　ｹﾝｲﾁ</v>
      </c>
      <c r="G8" s="51" t="str">
        <f>VLOOKUP($D8&amp;G$3,'選手ID'!$J$5:$O$74,5,FALSE)</f>
        <v>末岡 修</v>
      </c>
      <c r="H8" s="50" t="str">
        <f>VLOOKUP($D8&amp;G$3,'選手ID'!$J$5:$O$74,6,FALSE)</f>
        <v>ｽｴｵｶ 　ｵｻﾑ</v>
      </c>
      <c r="I8" s="51" t="str">
        <f>VLOOKUP($D8&amp;I$3,'選手ID'!$J$5:$O$74,5,FALSE)</f>
        <v>杉本 博章</v>
      </c>
      <c r="J8" s="50" t="str">
        <f>VLOOKUP($D8&amp;I$3,'選手ID'!$J$5:$O$74,6,FALSE)</f>
        <v>ｽｷﾞﾓﾄ 　ﾋﾛｱｷ</v>
      </c>
      <c r="K8" s="51" t="str">
        <f>VLOOKUP($D8&amp;K$3,'選手ID'!$J$5:$O$74,5,FALSE)</f>
        <v>丹次 力良</v>
      </c>
      <c r="L8" s="50" t="str">
        <f>VLOOKUP($D8&amp;K$3,'選手ID'!$J$5:$O$74,6,FALSE)</f>
        <v>ﾀﾝｼﾞ 　ﾁｶﾗ</v>
      </c>
      <c r="M8" s="51" t="str">
        <f>VLOOKUP($D8&amp;M$3,'選手ID'!$J$5:$O$74,5,FALSE)</f>
        <v>和田 宗一郎</v>
      </c>
      <c r="N8" s="52" t="str">
        <f>VLOOKUP($D8&amp;M$3,'選手ID'!$J$5:$O$74,6,FALSE)</f>
        <v>ﾜﾀﾞ 　ｿｳｲﾁﾛｳ</v>
      </c>
      <c r="U8" s="11">
        <v>4</v>
      </c>
      <c r="V8" s="2"/>
      <c r="W8" s="11" t="s">
        <v>67</v>
      </c>
    </row>
    <row r="9" spans="1:23" s="32" customFormat="1" ht="12" customHeight="1">
      <c r="A9" s="45">
        <v>6</v>
      </c>
      <c r="B9" s="46">
        <v>6</v>
      </c>
      <c r="C9" s="47" t="str">
        <f>'①（準備）選手登録'!C26</f>
        <v>滋賀</v>
      </c>
      <c r="D9" s="48" t="str">
        <f>IF(C9="","",VLOOKUP(C9,'選手ID'!$B$5:$C$29,2,FALSE))</f>
        <v>06</v>
      </c>
      <c r="E9" s="49" t="str">
        <f>VLOOKUP($D9&amp;E$3,'選手ID'!$J$5:$O$74,5,FALSE)</f>
        <v>酒井 美希</v>
      </c>
      <c r="F9" s="50" t="str">
        <f>VLOOKUP($D9&amp;E$3,'選手ID'!$J$5:$O$74,6,FALSE)</f>
        <v>ｻｶｲ 　ﾐｷ</v>
      </c>
      <c r="G9" s="51" t="str">
        <f>VLOOKUP($D9&amp;G$3,'選手ID'!$J$5:$O$74,5,FALSE)</f>
        <v>大橋 義治</v>
      </c>
      <c r="H9" s="50" t="str">
        <f>VLOOKUP($D9&amp;G$3,'選手ID'!$J$5:$O$74,6,FALSE)</f>
        <v>ｵｵﾊｼ 　ﾖｼﾊﾙ</v>
      </c>
      <c r="I9" s="51" t="str">
        <f>VLOOKUP($D9&amp;I$3,'選手ID'!$J$5:$O$74,5,FALSE)</f>
        <v>西峰 久祐</v>
      </c>
      <c r="J9" s="50" t="str">
        <f>VLOOKUP($D9&amp;I$3,'選手ID'!$J$5:$O$74,6,FALSE)</f>
        <v>ﾆｼﾐﾈ 　ﾋｻﾉﾘ</v>
      </c>
      <c r="K9" s="51" t="str">
        <f>VLOOKUP($D9&amp;K$3,'選手ID'!$J$5:$O$74,5,FALSE)</f>
        <v>長田 智紀</v>
      </c>
      <c r="L9" s="50" t="str">
        <f>VLOOKUP($D9&amp;K$3,'選手ID'!$J$5:$O$74,6,FALSE)</f>
        <v>ﾅｶﾞﾀ 　ﾄﾓﾉﾘ</v>
      </c>
      <c r="M9" s="51" t="str">
        <f>VLOOKUP($D9&amp;M$3,'選手ID'!$J$5:$O$74,5,FALSE)</f>
        <v>大橋 正寛</v>
      </c>
      <c r="N9" s="52" t="str">
        <f>VLOOKUP($D9&amp;M$3,'選手ID'!$J$5:$O$74,6,FALSE)</f>
        <v>ｵｵﾊｼ 　ﾏｻﾋﾛ</v>
      </c>
      <c r="U9" s="11">
        <v>5</v>
      </c>
      <c r="V9" s="2"/>
      <c r="W9" s="11" t="s">
        <v>68</v>
      </c>
    </row>
    <row r="10" spans="1:23" s="32" customFormat="1" ht="12" customHeight="1">
      <c r="A10" s="45">
        <v>7</v>
      </c>
      <c r="B10" s="46">
        <v>7</v>
      </c>
      <c r="C10" s="47" t="str">
        <f>'①（準備）選手登録'!C28</f>
        <v>奈良</v>
      </c>
      <c r="D10" s="48" t="str">
        <f>IF(C10="","",VLOOKUP(C10,'選手ID'!$B$5:$C$29,2,FALSE))</f>
        <v>07</v>
      </c>
      <c r="E10" s="49" t="str">
        <f>VLOOKUP($D10&amp;E$3,'選手ID'!$J$5:$O$74,5,FALSE)</f>
        <v>岩本 剛</v>
      </c>
      <c r="F10" s="50" t="str">
        <f>VLOOKUP($D10&amp;E$3,'選手ID'!$J$5:$O$74,6,FALSE)</f>
        <v>ｲﾜﾓﾄ 　ﾂﾖｼ</v>
      </c>
      <c r="G10" s="51" t="str">
        <f>VLOOKUP($D10&amp;G$3,'選手ID'!$J$5:$O$74,5,FALSE)</f>
        <v>水田 賢宏</v>
      </c>
      <c r="H10" s="50" t="str">
        <f>VLOOKUP($D10&amp;G$3,'選手ID'!$J$5:$O$74,6,FALSE)</f>
        <v>ﾐｽﾞﾀ 　ﾖｼﾋﾛ</v>
      </c>
      <c r="I10" s="51" t="str">
        <f>VLOOKUP($D10&amp;I$3,'選手ID'!$J$5:$O$74,5,FALSE)</f>
        <v>長谷川 進</v>
      </c>
      <c r="J10" s="50" t="str">
        <f>VLOOKUP($D10&amp;I$3,'選手ID'!$J$5:$O$74,6,FALSE)</f>
        <v>ﾊｾｶﾞﾜ 　ｽｽﾑ</v>
      </c>
      <c r="K10" s="51" t="str">
        <f>VLOOKUP($D10&amp;K$3,'選手ID'!$J$5:$O$74,5,FALSE)</f>
        <v>植田 慎也</v>
      </c>
      <c r="L10" s="50" t="str">
        <f>VLOOKUP($D10&amp;K$3,'選手ID'!$J$5:$O$74,6,FALSE)</f>
        <v>ｳｴﾀﾞ 　ｼﾝﾔ</v>
      </c>
      <c r="M10" s="51" t="str">
        <f>VLOOKUP($D10&amp;M$3,'選手ID'!$J$5:$O$74,5,FALSE)</f>
        <v>山田 晃司</v>
      </c>
      <c r="N10" s="52" t="str">
        <f>VLOOKUP($D10&amp;M$3,'選手ID'!$J$5:$O$74,6,FALSE)</f>
        <v>ﾔﾏﾀﾞ 　ｺｳｼﾞ</v>
      </c>
      <c r="U10" s="11">
        <v>6</v>
      </c>
      <c r="V10" s="2"/>
      <c r="W10" s="11" t="s">
        <v>24</v>
      </c>
    </row>
    <row r="11" spans="1:23" s="32" customFormat="1" ht="12" customHeight="1">
      <c r="A11" s="45">
        <v>8</v>
      </c>
      <c r="B11" s="46">
        <v>8</v>
      </c>
      <c r="C11" s="47" t="str">
        <f>'①（準備）選手登録'!C30</f>
        <v>三重</v>
      </c>
      <c r="D11" s="48" t="str">
        <f>IF(C11="","",VLOOKUP(C11,'選手ID'!$B$5:$C$29,2,FALSE))</f>
        <v>08</v>
      </c>
      <c r="E11" s="49" t="str">
        <f>VLOOKUP($D11&amp;E$3,'選手ID'!$J$5:$O$74,5,FALSE)</f>
        <v>水野 憲一</v>
      </c>
      <c r="F11" s="50" t="str">
        <f>VLOOKUP($D11&amp;E$3,'選手ID'!$J$5:$O$74,6,FALSE)</f>
        <v>ﾐｽﾞﾉ 　ｹﾝｲﾁ</v>
      </c>
      <c r="G11" s="51" t="str">
        <f>VLOOKUP($D11&amp;G$3,'選手ID'!$J$5:$O$74,5,FALSE)</f>
        <v>市川 裕貴</v>
      </c>
      <c r="H11" s="50" t="str">
        <f>VLOOKUP($D11&amp;G$3,'選手ID'!$J$5:$O$74,6,FALSE)</f>
        <v>ｲﾁｶﾜ 　ﾋﾛﾀｶ</v>
      </c>
      <c r="I11" s="51" t="str">
        <f>VLOOKUP($D11&amp;I$3,'選手ID'!$J$5:$O$74,5,FALSE)</f>
        <v>黒宮 健二</v>
      </c>
      <c r="J11" s="50" t="str">
        <f>VLOOKUP($D11&amp;I$3,'選手ID'!$J$5:$O$74,6,FALSE)</f>
        <v>ｸﾛﾐﾔ 　ｹﾝｼﾞ</v>
      </c>
      <c r="K11" s="51" t="str">
        <f>VLOOKUP($D11&amp;K$3,'選手ID'!$J$5:$O$74,5,FALSE)</f>
        <v>杉本 諭</v>
      </c>
      <c r="L11" s="50" t="str">
        <f>VLOOKUP($D11&amp;K$3,'選手ID'!$J$5:$O$74,6,FALSE)</f>
        <v>ｽｷﾞﾓﾄ 　ｻﾄｼ</v>
      </c>
      <c r="M11" s="51" t="str">
        <f>VLOOKUP($D11&amp;M$3,'選手ID'!$J$5:$O$74,5,FALSE)</f>
        <v>森本 英幸</v>
      </c>
      <c r="N11" s="52" t="str">
        <f>VLOOKUP($D11&amp;M$3,'選手ID'!$J$5:$O$74,6,FALSE)</f>
        <v>ﾓﾘﾓﾄ 　ﾋﾃﾞﾕｷ</v>
      </c>
      <c r="U11" s="11">
        <v>7</v>
      </c>
      <c r="V11" s="2"/>
      <c r="W11" s="11" t="s">
        <v>22</v>
      </c>
    </row>
    <row r="12" spans="1:23" s="32" customFormat="1" ht="12" customHeight="1">
      <c r="A12" s="45">
        <v>9</v>
      </c>
      <c r="B12" s="46">
        <v>9</v>
      </c>
      <c r="C12" s="47" t="str">
        <f>'①（準備）選手登録'!C32</f>
        <v>岐阜</v>
      </c>
      <c r="D12" s="48" t="str">
        <f>IF(C12="","",VLOOKUP(C12,'選手ID'!$B$5:$C$29,2,FALSE))</f>
        <v>09</v>
      </c>
      <c r="E12" s="49" t="str">
        <f>VLOOKUP($D12&amp;E$3,'選手ID'!$J$5:$O$74,5,FALSE)</f>
        <v>木村 隼人</v>
      </c>
      <c r="F12" s="50" t="str">
        <f>VLOOKUP($D12&amp;E$3,'選手ID'!$J$5:$O$74,6,FALSE)</f>
        <v>ｷﾑﾗ 　ﾊﾔﾄ</v>
      </c>
      <c r="G12" s="51" t="str">
        <f>VLOOKUP($D12&amp;G$3,'選手ID'!$J$5:$O$74,5,FALSE)</f>
        <v>辻 和美</v>
      </c>
      <c r="H12" s="50" t="str">
        <f>VLOOKUP($D12&amp;G$3,'選手ID'!$J$5:$O$74,6,FALSE)</f>
        <v>ﾂｼﾞ 　ｶｽﾞﾖｼ</v>
      </c>
      <c r="I12" s="51" t="str">
        <f>VLOOKUP($D12&amp;I$3,'選手ID'!$J$5:$O$74,5,FALSE)</f>
        <v>徳永 修児</v>
      </c>
      <c r="J12" s="50" t="str">
        <f>VLOOKUP($D12&amp;I$3,'選手ID'!$J$5:$O$74,6,FALSE)</f>
        <v>ﾄｸﾅｶﾞ 　ｼｭｳｼﾞ</v>
      </c>
      <c r="K12" s="51" t="str">
        <f>VLOOKUP($D12&amp;K$3,'選手ID'!$J$5:$O$74,5,FALSE)</f>
        <v>高橋 浩之</v>
      </c>
      <c r="L12" s="50" t="str">
        <f>VLOOKUP($D12&amp;K$3,'選手ID'!$J$5:$O$74,6,FALSE)</f>
        <v>ﾀｶﾊｼ 　ﾋﾛﾕｷ</v>
      </c>
      <c r="M12" s="51" t="str">
        <f>VLOOKUP($D12&amp;M$3,'選手ID'!$J$5:$O$74,5,FALSE)</f>
        <v>野原 朋和</v>
      </c>
      <c r="N12" s="52" t="str">
        <f>VLOOKUP($D12&amp;M$3,'選手ID'!$J$5:$O$74,6,FALSE)</f>
        <v>ﾉﾊﾗ 　ﾄﾓｶｽﾞ</v>
      </c>
      <c r="U12" s="11">
        <v>8</v>
      </c>
      <c r="V12" s="2"/>
      <c r="W12" s="11" t="s">
        <v>23</v>
      </c>
    </row>
    <row r="13" spans="1:23" s="32" customFormat="1" ht="12" customHeight="1">
      <c r="A13" s="45">
        <v>10</v>
      </c>
      <c r="B13" s="46">
        <v>10</v>
      </c>
      <c r="C13" s="47" t="str">
        <f>IF('①（準備）選手登録'!C34="","",'①（準備）選手登録'!C35)</f>
        <v>大阪B</v>
      </c>
      <c r="D13" s="48" t="str">
        <f>IF(C13="","",VLOOKUP(C13,'選手ID'!$B$5:$C$29,2,FALSE))</f>
        <v>10</v>
      </c>
      <c r="E13" s="49" t="str">
        <f>VLOOKUP($D13&amp;E$3,'選手ID'!$J$5:$O$74,5,FALSE)</f>
        <v>由本 拓</v>
      </c>
      <c r="F13" s="50" t="str">
        <f>VLOOKUP($D13&amp;E$3,'選手ID'!$J$5:$O$74,6,FALSE)</f>
        <v>ﾖｼﾓﾄ 　ﾋﾛｼ</v>
      </c>
      <c r="G13" s="51" t="str">
        <f>VLOOKUP($D13&amp;G$3,'選手ID'!$J$5:$O$74,5,FALSE)</f>
        <v>西田 恵子</v>
      </c>
      <c r="H13" s="50" t="str">
        <f>VLOOKUP($D13&amp;G$3,'選手ID'!$J$5:$O$74,6,FALSE)</f>
        <v>ﾆｼﾀﾞ 　ｹｲｺ</v>
      </c>
      <c r="I13" s="51" t="str">
        <f>VLOOKUP($D13&amp;I$3,'選手ID'!$J$5:$O$74,5,FALSE)</f>
        <v>野村 宗司</v>
      </c>
      <c r="J13" s="50" t="str">
        <f>VLOOKUP($D13&amp;I$3,'選手ID'!$J$5:$O$74,6,FALSE)</f>
        <v>ﾉﾑﾗ 　ｿｳｼﾞ</v>
      </c>
      <c r="K13" s="51" t="str">
        <f>VLOOKUP($D13&amp;K$3,'選手ID'!$J$5:$O$74,5,FALSE)</f>
        <v>山崎 真紀子</v>
      </c>
      <c r="L13" s="50" t="str">
        <f>VLOOKUP($D13&amp;K$3,'選手ID'!$J$5:$O$74,6,FALSE)</f>
        <v>ﾔﾏｻｷ 　ﾏｷｺ</v>
      </c>
      <c r="M13" s="51" t="str">
        <f>VLOOKUP($D13&amp;M$3,'選手ID'!$J$5:$O$74,5,FALSE)</f>
        <v>小森 雅昭</v>
      </c>
      <c r="N13" s="52" t="str">
        <f>VLOOKUP($D13&amp;M$3,'選手ID'!$J$5:$O$74,6,FALSE)</f>
        <v>ｺﾓﾘ 　ﾏｻｱｷ</v>
      </c>
      <c r="U13" s="11">
        <v>9</v>
      </c>
      <c r="V13" s="2"/>
      <c r="W13" s="11" t="s">
        <v>69</v>
      </c>
    </row>
    <row r="14" spans="1:23" s="32" customFormat="1" ht="12" customHeight="1">
      <c r="A14" s="45">
        <v>11</v>
      </c>
      <c r="B14" s="46">
        <v>11</v>
      </c>
      <c r="C14" s="47">
        <f>IF('①（準備）選手登録'!C36="","",'①（準備）選手登録'!C36)</f>
      </c>
      <c r="D14" s="48">
        <f>IF(C14="","",VLOOKUP(C14,'選手ID'!$B$5:$C$29,2,FALSE))</f>
      </c>
      <c r="E14" s="49" t="e">
        <f>VLOOKUP($D14&amp;E$3,'選手ID'!$J$5:$O$74,5,FALSE)</f>
        <v>#N/A</v>
      </c>
      <c r="F14" s="50" t="e">
        <f>VLOOKUP($D14&amp;E$3,'選手ID'!$J$5:$O$74,6,FALSE)</f>
        <v>#N/A</v>
      </c>
      <c r="G14" s="51" t="e">
        <f>VLOOKUP($D14&amp;G$3,'選手ID'!$J$5:$O$74,5,FALSE)</f>
        <v>#N/A</v>
      </c>
      <c r="H14" s="50" t="e">
        <f>VLOOKUP($D14&amp;G$3,'選手ID'!$J$5:$O$74,6,FALSE)</f>
        <v>#N/A</v>
      </c>
      <c r="I14" s="51" t="e">
        <f>VLOOKUP($D14&amp;I$3,'選手ID'!$J$5:$O$74,5,FALSE)</f>
        <v>#N/A</v>
      </c>
      <c r="J14" s="50" t="e">
        <f>VLOOKUP($D14&amp;I$3,'選手ID'!$J$5:$O$74,6,FALSE)</f>
        <v>#N/A</v>
      </c>
      <c r="K14" s="51" t="e">
        <f>VLOOKUP($D14&amp;K$3,'選手ID'!$J$5:$O$74,5,FALSE)</f>
        <v>#N/A</v>
      </c>
      <c r="L14" s="50" t="e">
        <f>VLOOKUP($D14&amp;K$3,'選手ID'!$J$5:$O$74,6,FALSE)</f>
        <v>#N/A</v>
      </c>
      <c r="M14" s="51" t="e">
        <f>VLOOKUP($D14&amp;M$3,'選手ID'!$J$5:$O$74,5,FALSE)</f>
        <v>#N/A</v>
      </c>
      <c r="N14" s="52" t="e">
        <f>VLOOKUP($D14&amp;M$3,'選手ID'!$J$5:$O$74,6,FALSE)</f>
        <v>#N/A</v>
      </c>
      <c r="U14" s="11">
        <v>10</v>
      </c>
      <c r="V14" s="2"/>
      <c r="W14" s="11" t="s">
        <v>70</v>
      </c>
    </row>
    <row r="15" spans="1:23" s="32" customFormat="1" ht="12.75" customHeight="1">
      <c r="A15" s="53">
        <v>12</v>
      </c>
      <c r="B15" s="54">
        <v>12</v>
      </c>
      <c r="C15" s="55">
        <f>IF($W16="","",VLOOKUP(A15,$U$4:$W$16,3,FALSE))</f>
      </c>
      <c r="D15" s="56">
        <f>IF(C15="","",VLOOKUP(C15,'選手ID'!$B$5:$C$29,2,FALSE))</f>
      </c>
      <c r="E15" s="57" t="e">
        <f>VLOOKUP($D15&amp;E$3,'選手ID'!$J$5:$O$74,5,FALSE)</f>
        <v>#N/A</v>
      </c>
      <c r="F15" s="58" t="e">
        <f>VLOOKUP($D15&amp;E$3,'選手ID'!$J$5:$O$74,6,FALSE)</f>
        <v>#N/A</v>
      </c>
      <c r="G15" s="59" t="e">
        <f>VLOOKUP($D15&amp;G$3,'選手ID'!$J$5:$O$74,5,FALSE)</f>
        <v>#N/A</v>
      </c>
      <c r="H15" s="58" t="e">
        <f>VLOOKUP($D15&amp;G$3,'選手ID'!$J$5:$O$74,6,FALSE)</f>
        <v>#N/A</v>
      </c>
      <c r="I15" s="59" t="e">
        <f>VLOOKUP($D15&amp;I$3,'選手ID'!$J$5:$O$74,5,FALSE)</f>
        <v>#N/A</v>
      </c>
      <c r="J15" s="58" t="e">
        <f>VLOOKUP($D15&amp;I$3,'選手ID'!$J$5:$O$74,6,FALSE)</f>
        <v>#N/A</v>
      </c>
      <c r="K15" s="59" t="e">
        <f>VLOOKUP($D15&amp;K$3,'選手ID'!$J$5:$O$74,5,FALSE)</f>
        <v>#N/A</v>
      </c>
      <c r="L15" s="58" t="e">
        <f>VLOOKUP($D15&amp;K$3,'選手ID'!$J$5:$O$74,6,FALSE)</f>
        <v>#N/A</v>
      </c>
      <c r="M15" s="59" t="e">
        <f>VLOOKUP($D15&amp;M$3,'選手ID'!$J$5:$O$74,5,FALSE)</f>
        <v>#N/A</v>
      </c>
      <c r="N15" s="60" t="e">
        <f>VLOOKUP($D15&amp;M$3,'選手ID'!$J$5:$O$74,6,FALSE)</f>
        <v>#N/A</v>
      </c>
      <c r="U15" s="11">
        <v>11</v>
      </c>
      <c r="V15" s="2"/>
      <c r="W15" s="11"/>
    </row>
    <row r="16" spans="4:23" ht="12" customHeight="1">
      <c r="D16" s="11">
        <f>COUNTA(C4:C15)-COUNTBLANK(C4:C15)</f>
        <v>10</v>
      </c>
      <c r="U16" s="11">
        <v>12</v>
      </c>
      <c r="W16" s="11"/>
    </row>
  </sheetData>
  <sheetProtection/>
  <mergeCells count="1">
    <mergeCell ref="A3:C3"/>
  </mergeCells>
  <dataValidations count="1">
    <dataValidation allowBlank="1" showInputMessage="1" showErrorMessage="1" sqref="O16 A4:N15"/>
  </dataValidations>
  <printOptions/>
  <pageMargins left="0.7868055555555555" right="0.7868055555555555" top="0.9833333333333333" bottom="0.9833333333333333" header="0.5111111111111111" footer="0.5111111111111111"/>
  <pageSetup fitToHeight="65535" fitToWidth="65535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4:O74"/>
  <sheetViews>
    <sheetView zoomScaleSheetLayoutView="100" zoomScalePageLayoutView="0" workbookViewId="0" topLeftCell="A4">
      <selection activeCell="D7" sqref="D7"/>
    </sheetView>
  </sheetViews>
  <sheetFormatPr defaultColWidth="9.00390625" defaultRowHeight="13.5"/>
  <cols>
    <col min="1" max="1" width="5.50390625" style="24" customWidth="1"/>
    <col min="2" max="2" width="7.875" style="2" customWidth="1"/>
    <col min="3" max="3" width="5.50390625" style="24" customWidth="1"/>
    <col min="4" max="9" width="7.875" style="4" customWidth="1"/>
    <col min="10" max="10" width="5.375" style="4" customWidth="1"/>
    <col min="11" max="13" width="5.625" style="26" customWidth="1"/>
    <col min="14" max="14" width="7.875" style="4" customWidth="1"/>
    <col min="15" max="15" width="12.125" style="4" customWidth="1"/>
  </cols>
  <sheetData>
    <row r="4" spans="4:15" ht="13.5" customHeight="1">
      <c r="D4" s="4">
        <v>1</v>
      </c>
      <c r="E4" s="4">
        <v>2</v>
      </c>
      <c r="F4" s="4">
        <v>3</v>
      </c>
      <c r="G4" s="4">
        <v>4</v>
      </c>
      <c r="H4" s="4">
        <v>5</v>
      </c>
      <c r="J4" s="26" t="s">
        <v>71</v>
      </c>
      <c r="K4" s="26" t="s">
        <v>72</v>
      </c>
      <c r="M4" s="26" t="s">
        <v>73</v>
      </c>
      <c r="N4" s="26" t="s">
        <v>74</v>
      </c>
      <c r="O4" s="26" t="s">
        <v>75</v>
      </c>
    </row>
    <row r="5" spans="1:15" ht="13.5" customHeight="1">
      <c r="A5" s="25"/>
      <c r="B5" s="4" t="str">
        <f>'①（準備）選手登録'!C16&amp;"ｶﾅ"</f>
        <v>兵庫ｶﾅ</v>
      </c>
      <c r="C5" s="25"/>
      <c r="D5" s="4" t="str">
        <f>('①（準備）選手登録'!H16&amp;" 　"&amp;'①（準備）選手登録'!I16)</f>
        <v>ﾀｶｷﾞ 　ﾄｼﾕｷ</v>
      </c>
      <c r="E5" s="4" t="str">
        <f>('①（準備）選手登録'!J16&amp;" 　"&amp;'①（準備）選手登録'!K16)</f>
        <v>ﾄﾞｳｿﾞﾉ 　ﾏｻﾔ</v>
      </c>
      <c r="F5" s="4" t="str">
        <f>('①（準備）選手登録'!L16&amp;" 　"&amp;'①（準備）選手登録'!M16)</f>
        <v>ﾓﾘ 　ｱｷﾄｼ</v>
      </c>
      <c r="G5" s="4" t="str">
        <f>('①（準備）選手登録'!N16&amp;" 　"&amp;'①（準備）選手登録'!O16)</f>
        <v>ｼﾗｻﾞﾜ 　ﾕｳｲﾁﾛｳ</v>
      </c>
      <c r="H5" s="4" t="str">
        <f>('①（準備）選手登録'!P16&amp;" 　"&amp;'①（準備）選手登録'!Q16)</f>
        <v>ﾋﾗｲ 　ｺｳｼ</v>
      </c>
      <c r="J5" s="24" t="s">
        <v>76</v>
      </c>
      <c r="K5" s="26">
        <v>1</v>
      </c>
      <c r="L5" s="26">
        <v>2</v>
      </c>
      <c r="M5" s="26">
        <v>1</v>
      </c>
      <c r="N5" s="26" t="str">
        <f aca="true" t="shared" si="0" ref="N5:N36">IF(INDEX($D$5:$H$30,L5,M5)="","",(INDEX($D$5:$H$30,L5,M5)))</f>
        <v>高木 俊行</v>
      </c>
      <c r="O5" s="26" t="str">
        <f aca="true" t="shared" si="1" ref="O5:O36">IF(INDEX($D$5:$H$30,K5,M5)="","",(INDEX($D$5:$H$30,K5,M5)))</f>
        <v>ﾀｶｷﾞ 　ﾄｼﾕｷ</v>
      </c>
    </row>
    <row r="6" spans="1:15" ht="13.5" customHeight="1">
      <c r="A6" s="25" t="s">
        <v>77</v>
      </c>
      <c r="B6" s="4" t="str">
        <f>'①（準備）選手登録'!C17</f>
        <v>兵庫</v>
      </c>
      <c r="C6" s="25" t="s">
        <v>77</v>
      </c>
      <c r="D6" s="4" t="str">
        <f>'①（準備）選手登録'!H17&amp;" "&amp;'①（準備）選手登録'!I17</f>
        <v>高木 俊行</v>
      </c>
      <c r="E6" s="4" t="str">
        <f>'①（準備）選手登録'!J17&amp;" "&amp;'①（準備）選手登録'!K17</f>
        <v>堂園 雅也</v>
      </c>
      <c r="F6" s="4" t="str">
        <f>'①（準備）選手登録'!L17&amp;" "&amp;'①（準備）選手登録'!M17</f>
        <v>森 映智</v>
      </c>
      <c r="G6" s="4" t="str">
        <f>'①（準備）選手登録'!N17&amp;" "&amp;'①（準備）選手登録'!O17</f>
        <v>白澤 雄一郎</v>
      </c>
      <c r="H6" s="4" t="str">
        <f>'①（準備）選手登録'!P17&amp;" "&amp;'①（準備）選手登録'!Q17</f>
        <v>平井 洸志</v>
      </c>
      <c r="J6" s="24" t="s">
        <v>78</v>
      </c>
      <c r="K6" s="26">
        <v>1</v>
      </c>
      <c r="L6" s="26">
        <v>2</v>
      </c>
      <c r="M6" s="26">
        <v>2</v>
      </c>
      <c r="N6" s="26" t="str">
        <f t="shared" si="0"/>
        <v>堂園 雅也</v>
      </c>
      <c r="O6" s="26" t="str">
        <f t="shared" si="1"/>
        <v>ﾄﾞｳｿﾞﾉ 　ﾏｻﾔ</v>
      </c>
    </row>
    <row r="7" spans="1:15" ht="13.5" customHeight="1">
      <c r="A7" s="25"/>
      <c r="B7" s="4" t="str">
        <f>'①（準備）選手登録'!C18&amp;"ｶﾅ"</f>
        <v>愛知ｶﾅ</v>
      </c>
      <c r="C7" s="25"/>
      <c r="D7" s="4" t="str">
        <f>('①（準備）選手登録'!H18&amp;" 　"&amp;'①（準備）選手登録'!I18)</f>
        <v>ｵｶﾞﾜ 　ｺｳ</v>
      </c>
      <c r="E7" s="4" t="str">
        <f>('①（準備）選手登録'!J18&amp;" 　"&amp;'①（準備）選手登録'!K18)</f>
        <v>ｻｸﾗｲ 　ﾀｶﾕｷ</v>
      </c>
      <c r="F7" s="4" t="str">
        <f>('①（準備）選手登録'!L18&amp;" 　"&amp;'①（準備）選手登録'!M18)</f>
        <v>ﾉﾀﾞ 　ｼﾞｭﾝﾔ</v>
      </c>
      <c r="G7" s="4" t="str">
        <f>('①（準備）選手登録'!N18&amp;" 　"&amp;'①（準備）選手登録'!O18)</f>
        <v>ｺﾝﾄﾞｳ 　ﾄﾓﾔｽ</v>
      </c>
      <c r="H7" s="4" t="str">
        <f>('①（準備）選手登録'!P18&amp;" 　"&amp;'①（準備）選手登録'!Q18)</f>
        <v>ｼﾏﾀﾞ 　ﾘｭｳｼﾞ</v>
      </c>
      <c r="J7" s="24" t="s">
        <v>79</v>
      </c>
      <c r="K7" s="26">
        <v>1</v>
      </c>
      <c r="L7" s="26">
        <v>2</v>
      </c>
      <c r="M7" s="26">
        <v>3</v>
      </c>
      <c r="N7" s="26" t="str">
        <f t="shared" si="0"/>
        <v>森 映智</v>
      </c>
      <c r="O7" s="26" t="str">
        <f t="shared" si="1"/>
        <v>ﾓﾘ 　ｱｷﾄｼ</v>
      </c>
    </row>
    <row r="8" spans="1:15" ht="13.5" customHeight="1">
      <c r="A8" s="25" t="s">
        <v>80</v>
      </c>
      <c r="B8" s="4" t="str">
        <f>'①（準備）選手登録'!C19</f>
        <v>愛知</v>
      </c>
      <c r="C8" s="25" t="s">
        <v>80</v>
      </c>
      <c r="D8" s="4" t="str">
        <f>'①（準備）選手登録'!H19&amp;" "&amp;'①（準備）選手登録'!I19</f>
        <v>小川 晃</v>
      </c>
      <c r="E8" s="4" t="str">
        <f>'①（準備）選手登録'!J19&amp;" "&amp;'①（準備）選手登録'!K19</f>
        <v>櫻井 崇之</v>
      </c>
      <c r="F8" s="4" t="str">
        <f>'①（準備）選手登録'!L19&amp;" "&amp;'①（準備）選手登録'!M19</f>
        <v>野田 絢也</v>
      </c>
      <c r="G8" s="4" t="str">
        <f>'①（準備）選手登録'!N19&amp;" "&amp;'①（準備）選手登録'!O19</f>
        <v>近藤 智靖</v>
      </c>
      <c r="H8" s="4" t="str">
        <f>'①（準備）選手登録'!P19&amp;" "&amp;'①（準備）選手登録'!Q19</f>
        <v>島田 隆嗣</v>
      </c>
      <c r="J8" s="4" t="s">
        <v>81</v>
      </c>
      <c r="K8" s="26">
        <v>1</v>
      </c>
      <c r="L8" s="26">
        <v>2</v>
      </c>
      <c r="M8" s="26">
        <v>4</v>
      </c>
      <c r="N8" s="26" t="str">
        <f t="shared" si="0"/>
        <v>白澤 雄一郎</v>
      </c>
      <c r="O8" s="26" t="str">
        <f t="shared" si="1"/>
        <v>ｼﾗｻﾞﾜ 　ﾕｳｲﾁﾛｳ</v>
      </c>
    </row>
    <row r="9" spans="1:15" ht="13.5" customHeight="1">
      <c r="A9" s="25"/>
      <c r="B9" s="4" t="str">
        <f>'①（準備）選手登録'!C20&amp;"ｶﾅ"</f>
        <v>京都ｶﾅ</v>
      </c>
      <c r="C9" s="25"/>
      <c r="D9" s="4" t="str">
        <f>('①（準備）選手登録'!H20&amp;" 　"&amp;'①（準備）選手登録'!I20)</f>
        <v>ｲﾏﾑﾗ 　ﾃﾂﾔ</v>
      </c>
      <c r="E9" s="4" t="str">
        <f>('①（準備）選手登録'!J20&amp;" 　"&amp;'①（準備）選手登録'!K20)</f>
        <v>ﾀﾂﾞｹ 　ﾕｳｼﾞ</v>
      </c>
      <c r="F9" s="4" t="str">
        <f>('①（準備）選手登録'!L20&amp;" 　"&amp;'①（準備）選手登録'!M20)</f>
        <v>ｻﾄｳ 　ﾕｳｺﾞ</v>
      </c>
      <c r="G9" s="4" t="str">
        <f>('①（準備）選手登録'!N20&amp;" 　"&amp;'①（準備）選手登録'!O20)</f>
        <v>ｶﾄｳ 　ｼｭｳﾏﾝ</v>
      </c>
      <c r="H9" s="4" t="str">
        <f>('①（準備）選手登録'!P20&amp;" 　"&amp;'①（準備）選手登録'!Q20)</f>
        <v>ﾔﾏｼﾀ 　ﾅｵｷ</v>
      </c>
      <c r="J9" s="4" t="s">
        <v>82</v>
      </c>
      <c r="K9" s="26">
        <v>1</v>
      </c>
      <c r="L9" s="26">
        <v>2</v>
      </c>
      <c r="M9" s="26">
        <v>5</v>
      </c>
      <c r="N9" s="26" t="str">
        <f t="shared" si="0"/>
        <v>平井 洸志</v>
      </c>
      <c r="O9" s="26" t="str">
        <f t="shared" si="1"/>
        <v>ﾋﾗｲ 　ｺｳｼ</v>
      </c>
    </row>
    <row r="10" spans="1:15" ht="13.5" customHeight="1">
      <c r="A10" s="25" t="s">
        <v>83</v>
      </c>
      <c r="B10" s="4" t="str">
        <f>'①（準備）選手登録'!C21</f>
        <v>京都</v>
      </c>
      <c r="C10" s="25" t="s">
        <v>83</v>
      </c>
      <c r="D10" s="4" t="str">
        <f>'①（準備）選手登録'!H21&amp;" "&amp;'①（準備）選手登録'!I21</f>
        <v>今村 哲也</v>
      </c>
      <c r="E10" s="4" t="str">
        <f>'①（準備）選手登録'!J21&amp;" "&amp;'①（準備）選手登録'!K21</f>
        <v>田附 裕次</v>
      </c>
      <c r="F10" s="4" t="str">
        <f>'①（準備）選手登録'!L21&amp;" "&amp;'①（準備）選手登録'!M21</f>
        <v>佐藤 雄吾</v>
      </c>
      <c r="G10" s="4" t="str">
        <f>'①（準備）選手登録'!N21&amp;" "&amp;'①（準備）選手登録'!O21</f>
        <v>加藤 秀万</v>
      </c>
      <c r="H10" s="4" t="str">
        <f>'①（準備）選手登録'!P21&amp;" "&amp;'①（準備）選手登録'!Q21</f>
        <v>山下 直生</v>
      </c>
      <c r="J10" s="4" t="s">
        <v>84</v>
      </c>
      <c r="K10" s="26">
        <f aca="true" t="shared" si="2" ref="K10:K41">K5+2</f>
        <v>3</v>
      </c>
      <c r="L10" s="26">
        <v>4</v>
      </c>
      <c r="M10" s="26">
        <v>1</v>
      </c>
      <c r="N10" s="26" t="str">
        <f t="shared" si="0"/>
        <v>小川 晃</v>
      </c>
      <c r="O10" s="26" t="str">
        <f t="shared" si="1"/>
        <v>ｵｶﾞﾜ 　ｺｳ</v>
      </c>
    </row>
    <row r="11" spans="1:15" ht="13.5" customHeight="1">
      <c r="A11" s="25"/>
      <c r="B11" s="4" t="str">
        <f>'①（準備）選手登録'!C22&amp;"ｶﾅ"</f>
        <v>大阪Aｶﾅ</v>
      </c>
      <c r="C11" s="25"/>
      <c r="D11" s="4" t="str">
        <f>('①（準備）選手登録'!H22&amp;" 　"&amp;'①（準備）選手登録'!I22)</f>
        <v>ﾑﾗｶﾐ 　ﾔｽﾖｼ</v>
      </c>
      <c r="E11" s="4" t="str">
        <f>('①（準備）選手登録'!J22&amp;" 　"&amp;'①（準備）選手登録'!K22)</f>
        <v>ﾔﾏｵｶ 　ｼｭｳｼﾞ</v>
      </c>
      <c r="F11" s="4" t="str">
        <f>('①（準備）選手登録'!L22&amp;" 　"&amp;'①（準備）選手登録'!M22)</f>
        <v>ﾖｼｵｶ 　ﾔｽﾄｼ</v>
      </c>
      <c r="G11" s="4" t="str">
        <f>('①（準備）選手登録'!N22&amp;" 　"&amp;'①（準備）選手登録'!O22)</f>
        <v>ｲﾇｲ 　ﾉﾌﾞﾂﾅ</v>
      </c>
      <c r="H11" s="4" t="str">
        <f>('①（準備）選手登録'!P22&amp;" 　"&amp;'①（準備）選手登録'!Q22)</f>
        <v>ﾔﾏﾀﾞ 　ﾐﾁﾋﾃﾞ</v>
      </c>
      <c r="J11" s="4" t="s">
        <v>85</v>
      </c>
      <c r="K11" s="26">
        <f t="shared" si="2"/>
        <v>3</v>
      </c>
      <c r="L11" s="26">
        <v>4</v>
      </c>
      <c r="M11" s="26">
        <v>2</v>
      </c>
      <c r="N11" s="26" t="str">
        <f t="shared" si="0"/>
        <v>櫻井 崇之</v>
      </c>
      <c r="O11" s="26" t="str">
        <f t="shared" si="1"/>
        <v>ｻｸﾗｲ 　ﾀｶﾕｷ</v>
      </c>
    </row>
    <row r="12" spans="1:15" ht="13.5" customHeight="1">
      <c r="A12" s="25" t="s">
        <v>86</v>
      </c>
      <c r="B12" s="4" t="str">
        <f>'①（準備）選手登録'!C23</f>
        <v>大阪A</v>
      </c>
      <c r="C12" s="25" t="s">
        <v>86</v>
      </c>
      <c r="D12" s="4" t="str">
        <f>'①（準備）選手登録'!H23&amp;" "&amp;'①（準備）選手登録'!I23</f>
        <v>村上 泰辰</v>
      </c>
      <c r="E12" s="4" t="str">
        <f>'①（準備）選手登録'!J23&amp;" "&amp;'①（準備）選手登録'!K23</f>
        <v>山岡 修二</v>
      </c>
      <c r="F12" s="4" t="str">
        <f>'①（準備）選手登録'!L23&amp;" "&amp;'①（準備）選手登録'!M23</f>
        <v>吉岡 保俊</v>
      </c>
      <c r="G12" s="4" t="str">
        <f>'①（準備）選手登録'!N23&amp;" "&amp;'①（準備）選手登録'!O23</f>
        <v>乾 伸綱</v>
      </c>
      <c r="H12" s="4" t="str">
        <f>'①（準備）選手登録'!P23&amp;" "&amp;'①（準備）選手登録'!Q23</f>
        <v>山田 玄英</v>
      </c>
      <c r="J12" s="4" t="s">
        <v>87</v>
      </c>
      <c r="K12" s="26">
        <f t="shared" si="2"/>
        <v>3</v>
      </c>
      <c r="L12" s="26">
        <v>4</v>
      </c>
      <c r="M12" s="26">
        <v>3</v>
      </c>
      <c r="N12" s="26" t="str">
        <f t="shared" si="0"/>
        <v>野田 絢也</v>
      </c>
      <c r="O12" s="26" t="str">
        <f t="shared" si="1"/>
        <v>ﾉﾀﾞ 　ｼﾞｭﾝﾔ</v>
      </c>
    </row>
    <row r="13" spans="1:15" ht="13.5" customHeight="1">
      <c r="A13" s="25"/>
      <c r="B13" s="4" t="str">
        <f>'①（準備）選手登録'!C24&amp;"ｶﾅ"</f>
        <v>和歌山ｶﾅ</v>
      </c>
      <c r="C13" s="25"/>
      <c r="D13" s="4" t="str">
        <f>('①（準備）選手登録'!H24&amp;" 　"&amp;'①（準備）選手登録'!I24)</f>
        <v>ｷｼｶﾞﾐ 　ｹﾝｲﾁ</v>
      </c>
      <c r="E13" s="4" t="str">
        <f>('①（準備）選手登録'!J24&amp;" 　"&amp;'①（準備）選手登録'!K24)</f>
        <v>ｽｴｵｶ 　ｵｻﾑ</v>
      </c>
      <c r="F13" s="4" t="str">
        <f>('①（準備）選手登録'!L24&amp;" 　"&amp;'①（準備）選手登録'!M24)</f>
        <v>ｽｷﾞﾓﾄ 　ﾋﾛｱｷ</v>
      </c>
      <c r="G13" s="4" t="str">
        <f>('①（準備）選手登録'!N24&amp;" 　"&amp;'①（準備）選手登録'!O24)</f>
        <v>ﾀﾝｼﾞ 　ﾁｶﾗ</v>
      </c>
      <c r="H13" s="4" t="str">
        <f>('①（準備）選手登録'!P24&amp;" 　"&amp;'①（準備）選手登録'!Q24)</f>
        <v>ﾜﾀﾞ 　ｿｳｲﾁﾛｳ</v>
      </c>
      <c r="J13" s="4" t="s">
        <v>88</v>
      </c>
      <c r="K13" s="26">
        <f t="shared" si="2"/>
        <v>3</v>
      </c>
      <c r="L13" s="26">
        <v>4</v>
      </c>
      <c r="M13" s="26">
        <v>4</v>
      </c>
      <c r="N13" s="26" t="str">
        <f t="shared" si="0"/>
        <v>近藤 智靖</v>
      </c>
      <c r="O13" s="26" t="str">
        <f t="shared" si="1"/>
        <v>ｺﾝﾄﾞｳ 　ﾄﾓﾔｽ</v>
      </c>
    </row>
    <row r="14" spans="1:15" ht="13.5" customHeight="1">
      <c r="A14" s="25" t="s">
        <v>89</v>
      </c>
      <c r="B14" s="4" t="str">
        <f>'①（準備）選手登録'!C25</f>
        <v>和歌山</v>
      </c>
      <c r="C14" s="25" t="s">
        <v>89</v>
      </c>
      <c r="D14" s="4" t="str">
        <f>'①（準備）選手登録'!H25&amp;" "&amp;'①（準備）選手登録'!I25</f>
        <v>岸上 賢一</v>
      </c>
      <c r="E14" s="4" t="str">
        <f>'①（準備）選手登録'!J25&amp;" "&amp;'①（準備）選手登録'!K25</f>
        <v>末岡 修</v>
      </c>
      <c r="F14" s="4" t="str">
        <f>'①（準備）選手登録'!L25&amp;" "&amp;'①（準備）選手登録'!M25</f>
        <v>杉本 博章</v>
      </c>
      <c r="G14" s="4" t="str">
        <f>'①（準備）選手登録'!N25&amp;" "&amp;'①（準備）選手登録'!O25</f>
        <v>丹次 力良</v>
      </c>
      <c r="H14" s="4" t="str">
        <f>'①（準備）選手登録'!P25&amp;" "&amp;'①（準備）選手登録'!Q25</f>
        <v>和田 宗一郎</v>
      </c>
      <c r="J14" s="4" t="s">
        <v>90</v>
      </c>
      <c r="K14" s="26">
        <f t="shared" si="2"/>
        <v>3</v>
      </c>
      <c r="L14" s="26">
        <v>4</v>
      </c>
      <c r="M14" s="26">
        <v>5</v>
      </c>
      <c r="N14" s="26" t="str">
        <f t="shared" si="0"/>
        <v>島田 隆嗣</v>
      </c>
      <c r="O14" s="26" t="str">
        <f t="shared" si="1"/>
        <v>ｼﾏﾀﾞ 　ﾘｭｳｼﾞ</v>
      </c>
    </row>
    <row r="15" spans="1:15" ht="13.5" customHeight="1">
      <c r="A15" s="25"/>
      <c r="B15" s="4" t="str">
        <f>'①（準備）選手登録'!C26&amp;"ｶﾅ"</f>
        <v>滋賀ｶﾅ</v>
      </c>
      <c r="C15" s="25"/>
      <c r="D15" s="4" t="str">
        <f>('①（準備）選手登録'!H26&amp;" 　"&amp;'①（準備）選手登録'!I26)</f>
        <v>ｻｶｲ 　ﾐｷ</v>
      </c>
      <c r="E15" s="4" t="str">
        <f>('①（準備）選手登録'!J26&amp;" 　"&amp;'①（準備）選手登録'!K26)</f>
        <v>ｵｵﾊｼ 　ﾖｼﾊﾙ</v>
      </c>
      <c r="F15" s="4" t="str">
        <f>('①（準備）選手登録'!L26&amp;" 　"&amp;'①（準備）選手登録'!M26)</f>
        <v>ﾆｼﾐﾈ 　ﾋｻﾉﾘ</v>
      </c>
      <c r="G15" s="4" t="str">
        <f>('①（準備）選手登録'!N26&amp;" 　"&amp;'①（準備）選手登録'!O26)</f>
        <v>ﾅｶﾞﾀ 　ﾄﾓﾉﾘ</v>
      </c>
      <c r="H15" s="4" t="str">
        <f>('①（準備）選手登録'!P26&amp;" 　"&amp;'①（準備）選手登録'!Q26)</f>
        <v>ｵｵﾊｼ 　ﾏｻﾋﾛ</v>
      </c>
      <c r="J15" s="4" t="s">
        <v>91</v>
      </c>
      <c r="K15" s="26">
        <f t="shared" si="2"/>
        <v>5</v>
      </c>
      <c r="L15" s="26">
        <v>6</v>
      </c>
      <c r="M15" s="26">
        <v>1</v>
      </c>
      <c r="N15" s="26" t="str">
        <f t="shared" si="0"/>
        <v>今村 哲也</v>
      </c>
      <c r="O15" s="26" t="str">
        <f t="shared" si="1"/>
        <v>ｲﾏﾑﾗ 　ﾃﾂﾔ</v>
      </c>
    </row>
    <row r="16" spans="1:15" ht="13.5" customHeight="1">
      <c r="A16" s="25" t="s">
        <v>92</v>
      </c>
      <c r="B16" s="4" t="str">
        <f>'①（準備）選手登録'!C27</f>
        <v>滋賀</v>
      </c>
      <c r="C16" s="25" t="s">
        <v>92</v>
      </c>
      <c r="D16" s="4" t="str">
        <f>'①（準備）選手登録'!H27&amp;" "&amp;'①（準備）選手登録'!I27</f>
        <v>酒井 美希</v>
      </c>
      <c r="E16" s="4" t="str">
        <f>'①（準備）選手登録'!J27&amp;" "&amp;'①（準備）選手登録'!K27</f>
        <v>大橋 義治</v>
      </c>
      <c r="F16" s="4" t="str">
        <f>'①（準備）選手登録'!L27&amp;" "&amp;'①（準備）選手登録'!M27</f>
        <v>西峰 久祐</v>
      </c>
      <c r="G16" s="4" t="str">
        <f>'①（準備）選手登録'!N27&amp;" "&amp;'①（準備）選手登録'!O27</f>
        <v>長田 智紀</v>
      </c>
      <c r="H16" s="4" t="str">
        <f>'①（準備）選手登録'!P27&amp;" "&amp;'①（準備）選手登録'!Q27</f>
        <v>大橋 正寛</v>
      </c>
      <c r="J16" s="4" t="s">
        <v>93</v>
      </c>
      <c r="K16" s="26">
        <f t="shared" si="2"/>
        <v>5</v>
      </c>
      <c r="L16" s="26">
        <v>6</v>
      </c>
      <c r="M16" s="26">
        <v>2</v>
      </c>
      <c r="N16" s="26" t="str">
        <f t="shared" si="0"/>
        <v>田附 裕次</v>
      </c>
      <c r="O16" s="26" t="str">
        <f t="shared" si="1"/>
        <v>ﾀﾂﾞｹ 　ﾕｳｼﾞ</v>
      </c>
    </row>
    <row r="17" spans="1:15" ht="13.5" customHeight="1">
      <c r="A17" s="25"/>
      <c r="B17" s="4" t="str">
        <f>'①（準備）選手登録'!C28&amp;"ｶﾅ"</f>
        <v>奈良ｶﾅ</v>
      </c>
      <c r="C17" s="25"/>
      <c r="D17" s="4" t="str">
        <f>('①（準備）選手登録'!H28&amp;" 　"&amp;'①（準備）選手登録'!I28)</f>
        <v>ｲﾜﾓﾄ 　ﾂﾖｼ</v>
      </c>
      <c r="E17" s="4" t="str">
        <f>('①（準備）選手登録'!J28&amp;" 　"&amp;'①（準備）選手登録'!K28)</f>
        <v>ﾐｽﾞﾀ 　ﾖｼﾋﾛ</v>
      </c>
      <c r="F17" s="4" t="str">
        <f>('①（準備）選手登録'!L28&amp;" 　"&amp;'①（準備）選手登録'!M28)</f>
        <v>ﾊｾｶﾞﾜ 　ｽｽﾑ</v>
      </c>
      <c r="G17" s="4" t="str">
        <f>('①（準備）選手登録'!N28&amp;" 　"&amp;'①（準備）選手登録'!O28)</f>
        <v>ｳｴﾀﾞ 　ｼﾝﾔ</v>
      </c>
      <c r="H17" s="4" t="str">
        <f>('①（準備）選手登録'!P28&amp;" 　"&amp;'①（準備）選手登録'!Q28)</f>
        <v>ﾔﾏﾀﾞ 　ｺｳｼﾞ</v>
      </c>
      <c r="J17" s="4" t="s">
        <v>94</v>
      </c>
      <c r="K17" s="26">
        <f t="shared" si="2"/>
        <v>5</v>
      </c>
      <c r="L17" s="26">
        <v>6</v>
      </c>
      <c r="M17" s="26">
        <v>3</v>
      </c>
      <c r="N17" s="26" t="str">
        <f t="shared" si="0"/>
        <v>佐藤 雄吾</v>
      </c>
      <c r="O17" s="26" t="str">
        <f t="shared" si="1"/>
        <v>ｻﾄｳ 　ﾕｳｺﾞ</v>
      </c>
    </row>
    <row r="18" spans="1:15" ht="13.5" customHeight="1">
      <c r="A18" s="25" t="s">
        <v>95</v>
      </c>
      <c r="B18" s="4" t="str">
        <f>'①（準備）選手登録'!C29</f>
        <v>奈良</v>
      </c>
      <c r="C18" s="25" t="s">
        <v>95</v>
      </c>
      <c r="D18" s="4" t="str">
        <f>'①（準備）選手登録'!H29&amp;" "&amp;'①（準備）選手登録'!I29</f>
        <v>岩本 剛</v>
      </c>
      <c r="E18" s="4" t="str">
        <f>'①（準備）選手登録'!J29&amp;" "&amp;'①（準備）選手登録'!K29</f>
        <v>水田 賢宏</v>
      </c>
      <c r="F18" s="4" t="str">
        <f>'①（準備）選手登録'!L29&amp;" "&amp;'①（準備）選手登録'!M29</f>
        <v>長谷川 進</v>
      </c>
      <c r="G18" s="4" t="str">
        <f>'①（準備）選手登録'!N29&amp;" "&amp;'①（準備）選手登録'!O29</f>
        <v>植田 慎也</v>
      </c>
      <c r="H18" s="4" t="str">
        <f>'①（準備）選手登録'!P29&amp;" "&amp;'①（準備）選手登録'!Q29</f>
        <v>山田 晃司</v>
      </c>
      <c r="J18" s="4" t="s">
        <v>96</v>
      </c>
      <c r="K18" s="26">
        <f t="shared" si="2"/>
        <v>5</v>
      </c>
      <c r="L18" s="26">
        <v>6</v>
      </c>
      <c r="M18" s="26">
        <v>4</v>
      </c>
      <c r="N18" s="26" t="str">
        <f t="shared" si="0"/>
        <v>加藤 秀万</v>
      </c>
      <c r="O18" s="26" t="str">
        <f t="shared" si="1"/>
        <v>ｶﾄｳ 　ｼｭｳﾏﾝ</v>
      </c>
    </row>
    <row r="19" spans="1:15" ht="13.5" customHeight="1">
      <c r="A19" s="25"/>
      <c r="B19" s="4" t="str">
        <f>'①（準備）選手登録'!C30&amp;"ｶﾅ"</f>
        <v>三重ｶﾅ</v>
      </c>
      <c r="C19" s="25"/>
      <c r="D19" s="4" t="str">
        <f>('①（準備）選手登録'!H30&amp;" 　"&amp;'①（準備）選手登録'!I30)</f>
        <v>ﾐｽﾞﾉ 　ｹﾝｲﾁ</v>
      </c>
      <c r="E19" s="4" t="str">
        <f>('①（準備）選手登録'!J30&amp;" 　"&amp;'①（準備）選手登録'!K30)</f>
        <v>ｲﾁｶﾜ 　ﾋﾛﾀｶ</v>
      </c>
      <c r="F19" s="4" t="str">
        <f>('①（準備）選手登録'!L30&amp;" 　"&amp;'①（準備）選手登録'!M30)</f>
        <v>ｸﾛﾐﾔ 　ｹﾝｼﾞ</v>
      </c>
      <c r="G19" s="4" t="str">
        <f>('①（準備）選手登録'!N30&amp;" 　"&amp;'①（準備）選手登録'!O30)</f>
        <v>ｽｷﾞﾓﾄ 　ｻﾄｼ</v>
      </c>
      <c r="H19" s="4" t="str">
        <f>('①（準備）選手登録'!P30&amp;" 　"&amp;'①（準備）選手登録'!Q30)</f>
        <v>ﾓﾘﾓﾄ 　ﾋﾃﾞﾕｷ</v>
      </c>
      <c r="J19" s="4" t="s">
        <v>97</v>
      </c>
      <c r="K19" s="26">
        <f t="shared" si="2"/>
        <v>5</v>
      </c>
      <c r="L19" s="26">
        <v>6</v>
      </c>
      <c r="M19" s="26">
        <v>5</v>
      </c>
      <c r="N19" s="26" t="str">
        <f t="shared" si="0"/>
        <v>山下 直生</v>
      </c>
      <c r="O19" s="26" t="str">
        <f t="shared" si="1"/>
        <v>ﾔﾏｼﾀ 　ﾅｵｷ</v>
      </c>
    </row>
    <row r="20" spans="1:15" ht="13.5" customHeight="1">
      <c r="A20" s="25" t="s">
        <v>98</v>
      </c>
      <c r="B20" s="4" t="str">
        <f>'①（準備）選手登録'!C31</f>
        <v>三重</v>
      </c>
      <c r="C20" s="25" t="s">
        <v>98</v>
      </c>
      <c r="D20" s="4" t="str">
        <f>'①（準備）選手登録'!H31&amp;" "&amp;'①（準備）選手登録'!I31</f>
        <v>水野 憲一</v>
      </c>
      <c r="E20" s="4" t="str">
        <f>'①（準備）選手登録'!J31&amp;" "&amp;'①（準備）選手登録'!K31</f>
        <v>市川 裕貴</v>
      </c>
      <c r="F20" s="4" t="str">
        <f>'①（準備）選手登録'!L31&amp;" "&amp;'①（準備）選手登録'!M31</f>
        <v>黒宮 健二</v>
      </c>
      <c r="G20" s="4" t="str">
        <f>'①（準備）選手登録'!N31&amp;" "&amp;'①（準備）選手登録'!O31</f>
        <v>杉本 諭</v>
      </c>
      <c r="H20" s="4" t="str">
        <f>'①（準備）選手登録'!P31&amp;" "&amp;'①（準備）選手登録'!Q31</f>
        <v>森本 英幸</v>
      </c>
      <c r="J20" s="4" t="s">
        <v>99</v>
      </c>
      <c r="K20" s="26">
        <f t="shared" si="2"/>
        <v>7</v>
      </c>
      <c r="L20" s="26">
        <v>8</v>
      </c>
      <c r="M20" s="26">
        <v>1</v>
      </c>
      <c r="N20" s="26" t="str">
        <f t="shared" si="0"/>
        <v>村上 泰辰</v>
      </c>
      <c r="O20" s="26" t="str">
        <f t="shared" si="1"/>
        <v>ﾑﾗｶﾐ 　ﾔｽﾖｼ</v>
      </c>
    </row>
    <row r="21" spans="1:15" ht="13.5" customHeight="1">
      <c r="A21" s="25"/>
      <c r="B21" s="4" t="str">
        <f>'①（準備）選手登録'!C32&amp;"ｶﾅ"</f>
        <v>岐阜ｶﾅ</v>
      </c>
      <c r="C21" s="25"/>
      <c r="D21" s="4" t="str">
        <f>('①（準備）選手登録'!H32&amp;" 　"&amp;'①（準備）選手登録'!I32)</f>
        <v>ｷﾑﾗ 　ﾊﾔﾄ</v>
      </c>
      <c r="E21" s="4" t="str">
        <f>('①（準備）選手登録'!J32&amp;" 　"&amp;'①（準備）選手登録'!K32)</f>
        <v>ﾂｼﾞ 　ｶｽﾞﾖｼ</v>
      </c>
      <c r="F21" s="4" t="str">
        <f>('①（準備）選手登録'!L32&amp;" 　"&amp;'①（準備）選手登録'!M32)</f>
        <v>ﾄｸﾅｶﾞ 　ｼｭｳｼﾞ</v>
      </c>
      <c r="G21" s="4" t="str">
        <f>('①（準備）選手登録'!N32&amp;" 　"&amp;'①（準備）選手登録'!O32)</f>
        <v>ﾀｶﾊｼ 　ﾋﾛﾕｷ</v>
      </c>
      <c r="H21" s="4" t="str">
        <f>('①（準備）選手登録'!P32&amp;" 　"&amp;'①（準備）選手登録'!Q32)</f>
        <v>ﾉﾊﾗ 　ﾄﾓｶｽﾞ</v>
      </c>
      <c r="J21" s="4" t="s">
        <v>100</v>
      </c>
      <c r="K21" s="26">
        <f t="shared" si="2"/>
        <v>7</v>
      </c>
      <c r="L21" s="26">
        <v>8</v>
      </c>
      <c r="M21" s="26">
        <v>2</v>
      </c>
      <c r="N21" s="26" t="str">
        <f t="shared" si="0"/>
        <v>山岡 修二</v>
      </c>
      <c r="O21" s="26" t="str">
        <f t="shared" si="1"/>
        <v>ﾔﾏｵｶ 　ｼｭｳｼﾞ</v>
      </c>
    </row>
    <row r="22" spans="1:15" ht="13.5" customHeight="1">
      <c r="A22" s="25" t="s">
        <v>101</v>
      </c>
      <c r="B22" s="4" t="str">
        <f>'①（準備）選手登録'!C33</f>
        <v>岐阜</v>
      </c>
      <c r="C22" s="25" t="s">
        <v>101</v>
      </c>
      <c r="D22" s="4" t="str">
        <f>'①（準備）選手登録'!H33&amp;" "&amp;'①（準備）選手登録'!I33</f>
        <v>木村 隼人</v>
      </c>
      <c r="E22" s="4" t="str">
        <f>'①（準備）選手登録'!J33&amp;" "&amp;'①（準備）選手登録'!K33</f>
        <v>辻 和美</v>
      </c>
      <c r="F22" s="4" t="str">
        <f>'①（準備）選手登録'!L33&amp;" "&amp;'①（準備）選手登録'!M33</f>
        <v>徳永 修児</v>
      </c>
      <c r="G22" s="4" t="str">
        <f>'①（準備）選手登録'!N33&amp;" "&amp;'①（準備）選手登録'!O33</f>
        <v>高橋 浩之</v>
      </c>
      <c r="H22" s="4" t="str">
        <f>'①（準備）選手登録'!P33&amp;" "&amp;'①（準備）選手登録'!Q33</f>
        <v>野原 朋和</v>
      </c>
      <c r="J22" s="4" t="s">
        <v>102</v>
      </c>
      <c r="K22" s="26">
        <f t="shared" si="2"/>
        <v>7</v>
      </c>
      <c r="L22" s="26">
        <v>8</v>
      </c>
      <c r="M22" s="26">
        <v>3</v>
      </c>
      <c r="N22" s="26" t="str">
        <f t="shared" si="0"/>
        <v>吉岡 保俊</v>
      </c>
      <c r="O22" s="26" t="str">
        <f t="shared" si="1"/>
        <v>ﾖｼｵｶ 　ﾔｽﾄｼ</v>
      </c>
    </row>
    <row r="23" spans="1:15" ht="13.5" customHeight="1">
      <c r="A23" s="25"/>
      <c r="B23" s="4" t="str">
        <f>'①（準備）選手登録'!C34&amp;"ｶﾅ"</f>
        <v>大阪Bｶﾅ</v>
      </c>
      <c r="C23" s="25"/>
      <c r="D23" s="4" t="str">
        <f>('①（準備）選手登録'!H34&amp;" 　"&amp;'①（準備）選手登録'!I34)</f>
        <v>ﾖｼﾓﾄ 　ﾋﾛｼ</v>
      </c>
      <c r="E23" s="4" t="str">
        <f>('①（準備）選手登録'!J34&amp;" 　"&amp;'①（準備）選手登録'!K34)</f>
        <v>ﾆｼﾀﾞ 　ｹｲｺ</v>
      </c>
      <c r="F23" s="4" t="str">
        <f>('①（準備）選手登録'!L34&amp;" 　"&amp;'①（準備）選手登録'!M34)</f>
        <v>ﾉﾑﾗ 　ｿｳｼﾞ</v>
      </c>
      <c r="G23" s="4" t="str">
        <f>('①（準備）選手登録'!N34&amp;" 　"&amp;'①（準備）選手登録'!O34)</f>
        <v>ﾔﾏｻｷ 　ﾏｷｺ</v>
      </c>
      <c r="H23" s="4" t="str">
        <f>('①（準備）選手登録'!P34&amp;" 　"&amp;'①（準備）選手登録'!Q34)</f>
        <v>ｺﾓﾘ 　ﾏｻｱｷ</v>
      </c>
      <c r="J23" s="4" t="s">
        <v>103</v>
      </c>
      <c r="K23" s="26">
        <f t="shared" si="2"/>
        <v>7</v>
      </c>
      <c r="L23" s="26">
        <v>8</v>
      </c>
      <c r="M23" s="26">
        <v>4</v>
      </c>
      <c r="N23" s="26" t="str">
        <f t="shared" si="0"/>
        <v>乾 伸綱</v>
      </c>
      <c r="O23" s="26" t="str">
        <f t="shared" si="1"/>
        <v>ｲﾇｲ 　ﾉﾌﾞﾂﾅ</v>
      </c>
    </row>
    <row r="24" spans="1:15" ht="13.5" customHeight="1">
      <c r="A24" s="25" t="s">
        <v>104</v>
      </c>
      <c r="B24" s="4" t="str">
        <f>'①（準備）選手登録'!C35</f>
        <v>大阪B</v>
      </c>
      <c r="C24" s="25" t="s">
        <v>104</v>
      </c>
      <c r="D24" s="4" t="str">
        <f>'①（準備）選手登録'!H35&amp;" "&amp;'①（準備）選手登録'!I35</f>
        <v>由本 拓</v>
      </c>
      <c r="E24" s="4" t="str">
        <f>'①（準備）選手登録'!J35&amp;" "&amp;'①（準備）選手登録'!K35</f>
        <v>西田 恵子</v>
      </c>
      <c r="F24" s="4" t="str">
        <f>'①（準備）選手登録'!L35&amp;" "&amp;'①（準備）選手登録'!M35</f>
        <v>野村 宗司</v>
      </c>
      <c r="G24" s="4" t="str">
        <f>'①（準備）選手登録'!N35&amp;" "&amp;'①（準備）選手登録'!O35</f>
        <v>山崎 真紀子</v>
      </c>
      <c r="H24" s="4" t="str">
        <f>'①（準備）選手登録'!P35&amp;" "&amp;'①（準備）選手登録'!Q35</f>
        <v>小森 雅昭</v>
      </c>
      <c r="J24" s="4" t="s">
        <v>105</v>
      </c>
      <c r="K24" s="26">
        <f t="shared" si="2"/>
        <v>7</v>
      </c>
      <c r="L24" s="26">
        <v>8</v>
      </c>
      <c r="M24" s="26">
        <v>5</v>
      </c>
      <c r="N24" s="26" t="str">
        <f t="shared" si="0"/>
        <v>山田 玄英</v>
      </c>
      <c r="O24" s="26" t="str">
        <f t="shared" si="1"/>
        <v>ﾔﾏﾀﾞ 　ﾐﾁﾋﾃﾞ</v>
      </c>
    </row>
    <row r="25" spans="1:15" ht="13.5" customHeight="1">
      <c r="A25" s="25"/>
      <c r="B25" s="4" t="str">
        <f>'①（準備）選手登録'!C36&amp;"ｶﾅ"</f>
        <v>ｶﾅ</v>
      </c>
      <c r="C25" s="25"/>
      <c r="D25" s="4" t="str">
        <f>('①（準備）選手登録'!H36&amp;" 　"&amp;'①（準備）選手登録'!I36)</f>
        <v> 　</v>
      </c>
      <c r="E25" s="4" t="str">
        <f>('①（準備）選手登録'!J36&amp;" 　"&amp;'①（準備）選手登録'!K36)</f>
        <v> 　</v>
      </c>
      <c r="F25" s="4" t="str">
        <f>('①（準備）選手登録'!L36&amp;" 　"&amp;'①（準備）選手登録'!M36)</f>
        <v> 　</v>
      </c>
      <c r="G25" s="4" t="str">
        <f>('①（準備）選手登録'!N36&amp;" 　"&amp;'①（準備）選手登録'!O36)</f>
        <v> 　</v>
      </c>
      <c r="H25" s="4" t="str">
        <f>('①（準備）選手登録'!P36&amp;" 　"&amp;'①（準備）選手登録'!Q36)</f>
        <v> 　</v>
      </c>
      <c r="J25" s="4" t="s">
        <v>106</v>
      </c>
      <c r="K25" s="26">
        <f t="shared" si="2"/>
        <v>9</v>
      </c>
      <c r="L25" s="26">
        <v>10</v>
      </c>
      <c r="M25" s="26">
        <v>1</v>
      </c>
      <c r="N25" s="26" t="str">
        <f t="shared" si="0"/>
        <v>岸上 賢一</v>
      </c>
      <c r="O25" s="26" t="str">
        <f t="shared" si="1"/>
        <v>ｷｼｶﾞﾐ 　ｹﾝｲﾁ</v>
      </c>
    </row>
    <row r="26" spans="1:15" ht="13.5" customHeight="1">
      <c r="A26" s="25" t="s">
        <v>107</v>
      </c>
      <c r="B26" s="4">
        <f>'①（準備）選手登録'!C37</f>
        <v>0</v>
      </c>
      <c r="C26" s="25" t="s">
        <v>107</v>
      </c>
      <c r="D26" s="4" t="str">
        <f>'①（準備）選手登録'!H37&amp;" "&amp;'①（準備）選手登録'!I37</f>
        <v> </v>
      </c>
      <c r="E26" s="4" t="str">
        <f>'①（準備）選手登録'!J37&amp;" "&amp;'①（準備）選手登録'!K37</f>
        <v> </v>
      </c>
      <c r="F26" s="4" t="str">
        <f>'①（準備）選手登録'!L37&amp;" "&amp;'①（準備）選手登録'!M37</f>
        <v> </v>
      </c>
      <c r="G26" s="4" t="str">
        <f>'①（準備）選手登録'!N37&amp;" "&amp;'①（準備）選手登録'!O37</f>
        <v> </v>
      </c>
      <c r="H26" s="4" t="str">
        <f>'①（準備）選手登録'!P37&amp;" "&amp;'①（準備）選手登録'!Q37</f>
        <v> </v>
      </c>
      <c r="J26" s="4" t="s">
        <v>108</v>
      </c>
      <c r="K26" s="26">
        <f t="shared" si="2"/>
        <v>9</v>
      </c>
      <c r="L26" s="26">
        <v>10</v>
      </c>
      <c r="M26" s="26">
        <v>2</v>
      </c>
      <c r="N26" s="26" t="str">
        <f t="shared" si="0"/>
        <v>末岡 修</v>
      </c>
      <c r="O26" s="26" t="str">
        <f t="shared" si="1"/>
        <v>ｽｴｵｶ 　ｵｻﾑ</v>
      </c>
    </row>
    <row r="27" spans="1:15" ht="13.5" customHeight="1">
      <c r="A27" s="25"/>
      <c r="B27" s="4" t="str">
        <f>'①（準備）選手登録'!C38&amp;"ｶﾅ"</f>
        <v>ｶﾅ</v>
      </c>
      <c r="C27" s="25"/>
      <c r="D27" s="4" t="str">
        <f>('①（準備）選手登録'!H38&amp;" 　"&amp;'①（準備）選手登録'!I38)</f>
        <v> 　</v>
      </c>
      <c r="E27" s="4" t="str">
        <f>('①（準備）選手登録'!J38&amp;" 　"&amp;'①（準備）選手登録'!K38)</f>
        <v> 　</v>
      </c>
      <c r="F27" s="4" t="str">
        <f>('①（準備）選手登録'!L38&amp;" 　"&amp;'①（準備）選手登録'!M38)</f>
        <v> 　</v>
      </c>
      <c r="G27" s="4" t="str">
        <f>('①（準備）選手登録'!N38&amp;" 　"&amp;'①（準備）選手登録'!O38)</f>
        <v> 　</v>
      </c>
      <c r="H27" s="4" t="str">
        <f>('①（準備）選手登録'!P38&amp;" 　"&amp;'①（準備）選手登録'!Q38)</f>
        <v> 　</v>
      </c>
      <c r="J27" s="4" t="s">
        <v>109</v>
      </c>
      <c r="K27" s="26">
        <f t="shared" si="2"/>
        <v>9</v>
      </c>
      <c r="L27" s="26">
        <v>10</v>
      </c>
      <c r="M27" s="26">
        <v>3</v>
      </c>
      <c r="N27" s="26" t="str">
        <f t="shared" si="0"/>
        <v>杉本 博章</v>
      </c>
      <c r="O27" s="26" t="str">
        <f t="shared" si="1"/>
        <v>ｽｷﾞﾓﾄ 　ﾋﾛｱｷ</v>
      </c>
    </row>
    <row r="28" spans="1:15" ht="13.5" customHeight="1">
      <c r="A28" s="25" t="s">
        <v>110</v>
      </c>
      <c r="B28" s="4">
        <f>'①（準備）選手登録'!C39</f>
        <v>0</v>
      </c>
      <c r="C28" s="25" t="s">
        <v>110</v>
      </c>
      <c r="D28" s="4" t="str">
        <f>'①（準備）選手登録'!H39&amp;" "&amp;'①（準備）選手登録'!I39</f>
        <v> </v>
      </c>
      <c r="E28" s="4" t="str">
        <f>'①（準備）選手登録'!J39&amp;" "&amp;'①（準備）選手登録'!K39</f>
        <v> </v>
      </c>
      <c r="F28" s="4" t="str">
        <f>'①（準備）選手登録'!L39&amp;" "&amp;'①（準備）選手登録'!M39</f>
        <v> </v>
      </c>
      <c r="G28" s="4" t="str">
        <f>'①（準備）選手登録'!N39&amp;" "&amp;'①（準備）選手登録'!O39</f>
        <v> </v>
      </c>
      <c r="H28" s="4" t="str">
        <f>'①（準備）選手登録'!P39&amp;" "&amp;'①（準備）選手登録'!Q39</f>
        <v> </v>
      </c>
      <c r="J28" s="4" t="s">
        <v>111</v>
      </c>
      <c r="K28" s="26">
        <f t="shared" si="2"/>
        <v>9</v>
      </c>
      <c r="L28" s="26">
        <v>10</v>
      </c>
      <c r="M28" s="26">
        <v>4</v>
      </c>
      <c r="N28" s="26" t="str">
        <f t="shared" si="0"/>
        <v>丹次 力良</v>
      </c>
      <c r="O28" s="26" t="str">
        <f t="shared" si="1"/>
        <v>ﾀﾝｼﾞ 　ﾁｶﾗ</v>
      </c>
    </row>
    <row r="29" spans="10:15" ht="13.5" customHeight="1">
      <c r="J29" s="4" t="s">
        <v>112</v>
      </c>
      <c r="K29" s="26">
        <f t="shared" si="2"/>
        <v>9</v>
      </c>
      <c r="L29" s="26">
        <v>10</v>
      </c>
      <c r="M29" s="26">
        <v>5</v>
      </c>
      <c r="N29" s="26" t="str">
        <f t="shared" si="0"/>
        <v>和田 宗一郎</v>
      </c>
      <c r="O29" s="26" t="str">
        <f t="shared" si="1"/>
        <v>ﾜﾀﾞ 　ｿｳｲﾁﾛｳ</v>
      </c>
    </row>
    <row r="30" spans="10:15" ht="13.5" customHeight="1">
      <c r="J30" s="4" t="s">
        <v>113</v>
      </c>
      <c r="K30" s="26">
        <f t="shared" si="2"/>
        <v>11</v>
      </c>
      <c r="L30" s="26">
        <v>12</v>
      </c>
      <c r="M30" s="26">
        <v>1</v>
      </c>
      <c r="N30" s="26" t="str">
        <f t="shared" si="0"/>
        <v>酒井 美希</v>
      </c>
      <c r="O30" s="26" t="str">
        <f t="shared" si="1"/>
        <v>ｻｶｲ 　ﾐｷ</v>
      </c>
    </row>
    <row r="31" spans="10:15" ht="13.5" customHeight="1">
      <c r="J31" s="4" t="s">
        <v>114</v>
      </c>
      <c r="K31" s="26">
        <f t="shared" si="2"/>
        <v>11</v>
      </c>
      <c r="L31" s="26">
        <v>12</v>
      </c>
      <c r="M31" s="26">
        <v>2</v>
      </c>
      <c r="N31" s="26" t="str">
        <f t="shared" si="0"/>
        <v>大橋 義治</v>
      </c>
      <c r="O31" s="26" t="str">
        <f t="shared" si="1"/>
        <v>ｵｵﾊｼ 　ﾖｼﾊﾙ</v>
      </c>
    </row>
    <row r="32" spans="10:15" ht="13.5" customHeight="1">
      <c r="J32" s="4" t="s">
        <v>115</v>
      </c>
      <c r="K32" s="26">
        <f t="shared" si="2"/>
        <v>11</v>
      </c>
      <c r="L32" s="26">
        <v>12</v>
      </c>
      <c r="M32" s="26">
        <v>3</v>
      </c>
      <c r="N32" s="26" t="str">
        <f t="shared" si="0"/>
        <v>西峰 久祐</v>
      </c>
      <c r="O32" s="26" t="str">
        <f t="shared" si="1"/>
        <v>ﾆｼﾐﾈ 　ﾋｻﾉﾘ</v>
      </c>
    </row>
    <row r="33" spans="10:15" ht="13.5" customHeight="1">
      <c r="J33" s="4" t="s">
        <v>116</v>
      </c>
      <c r="K33" s="26">
        <f t="shared" si="2"/>
        <v>11</v>
      </c>
      <c r="L33" s="26">
        <v>12</v>
      </c>
      <c r="M33" s="26">
        <v>4</v>
      </c>
      <c r="N33" s="26" t="str">
        <f t="shared" si="0"/>
        <v>長田 智紀</v>
      </c>
      <c r="O33" s="26" t="str">
        <f t="shared" si="1"/>
        <v>ﾅｶﾞﾀ 　ﾄﾓﾉﾘ</v>
      </c>
    </row>
    <row r="34" spans="10:15" ht="13.5" customHeight="1">
      <c r="J34" s="4" t="s">
        <v>117</v>
      </c>
      <c r="K34" s="26">
        <f t="shared" si="2"/>
        <v>11</v>
      </c>
      <c r="L34" s="26">
        <v>12</v>
      </c>
      <c r="M34" s="26">
        <v>5</v>
      </c>
      <c r="N34" s="26" t="str">
        <f t="shared" si="0"/>
        <v>大橋 正寛</v>
      </c>
      <c r="O34" s="26" t="str">
        <f t="shared" si="1"/>
        <v>ｵｵﾊｼ 　ﾏｻﾋﾛ</v>
      </c>
    </row>
    <row r="35" spans="10:15" ht="13.5" customHeight="1">
      <c r="J35" s="4" t="s">
        <v>118</v>
      </c>
      <c r="K35" s="26">
        <f t="shared" si="2"/>
        <v>13</v>
      </c>
      <c r="L35" s="26">
        <v>14</v>
      </c>
      <c r="M35" s="26">
        <v>1</v>
      </c>
      <c r="N35" s="26" t="str">
        <f t="shared" si="0"/>
        <v>岩本 剛</v>
      </c>
      <c r="O35" s="26" t="str">
        <f t="shared" si="1"/>
        <v>ｲﾜﾓﾄ 　ﾂﾖｼ</v>
      </c>
    </row>
    <row r="36" spans="10:15" ht="13.5" customHeight="1">
      <c r="J36" s="4" t="s">
        <v>119</v>
      </c>
      <c r="K36" s="26">
        <f t="shared" si="2"/>
        <v>13</v>
      </c>
      <c r="L36" s="26">
        <v>14</v>
      </c>
      <c r="M36" s="26">
        <v>2</v>
      </c>
      <c r="N36" s="26" t="str">
        <f t="shared" si="0"/>
        <v>水田 賢宏</v>
      </c>
      <c r="O36" s="26" t="str">
        <f t="shared" si="1"/>
        <v>ﾐｽﾞﾀ 　ﾖｼﾋﾛ</v>
      </c>
    </row>
    <row r="37" spans="10:15" ht="13.5" customHeight="1">
      <c r="J37" s="4" t="s">
        <v>120</v>
      </c>
      <c r="K37" s="26">
        <f t="shared" si="2"/>
        <v>13</v>
      </c>
      <c r="L37" s="26">
        <v>14</v>
      </c>
      <c r="M37" s="26">
        <v>3</v>
      </c>
      <c r="N37" s="26" t="str">
        <f aca="true" t="shared" si="3" ref="N37:N68">IF(INDEX($D$5:$H$30,L37,M37)="","",(INDEX($D$5:$H$30,L37,M37)))</f>
        <v>長谷川 進</v>
      </c>
      <c r="O37" s="26" t="str">
        <f aca="true" t="shared" si="4" ref="O37:O69">IF(INDEX($D$5:$H$30,K37,M37)="","",(INDEX($D$5:$H$30,K37,M37)))</f>
        <v>ﾊｾｶﾞﾜ 　ｽｽﾑ</v>
      </c>
    </row>
    <row r="38" spans="10:15" ht="13.5" customHeight="1">
      <c r="J38" s="4" t="s">
        <v>121</v>
      </c>
      <c r="K38" s="26">
        <f t="shared" si="2"/>
        <v>13</v>
      </c>
      <c r="L38" s="26">
        <v>14</v>
      </c>
      <c r="M38" s="26">
        <v>4</v>
      </c>
      <c r="N38" s="26" t="str">
        <f t="shared" si="3"/>
        <v>植田 慎也</v>
      </c>
      <c r="O38" s="26" t="str">
        <f t="shared" si="4"/>
        <v>ｳｴﾀﾞ 　ｼﾝﾔ</v>
      </c>
    </row>
    <row r="39" spans="10:15" ht="13.5" customHeight="1">
      <c r="J39" s="4" t="s">
        <v>122</v>
      </c>
      <c r="K39" s="26">
        <f t="shared" si="2"/>
        <v>13</v>
      </c>
      <c r="L39" s="26">
        <v>14</v>
      </c>
      <c r="M39" s="26">
        <v>5</v>
      </c>
      <c r="N39" s="26" t="str">
        <f t="shared" si="3"/>
        <v>山田 晃司</v>
      </c>
      <c r="O39" s="26" t="str">
        <f t="shared" si="4"/>
        <v>ﾔﾏﾀﾞ 　ｺｳｼﾞ</v>
      </c>
    </row>
    <row r="40" spans="10:15" ht="13.5" customHeight="1">
      <c r="J40" s="4" t="s">
        <v>123</v>
      </c>
      <c r="K40" s="26">
        <f t="shared" si="2"/>
        <v>15</v>
      </c>
      <c r="L40" s="26">
        <v>16</v>
      </c>
      <c r="M40" s="26">
        <v>1</v>
      </c>
      <c r="N40" s="26" t="str">
        <f t="shared" si="3"/>
        <v>水野 憲一</v>
      </c>
      <c r="O40" s="26" t="str">
        <f t="shared" si="4"/>
        <v>ﾐｽﾞﾉ 　ｹﾝｲﾁ</v>
      </c>
    </row>
    <row r="41" spans="10:15" ht="13.5" customHeight="1">
      <c r="J41" s="4" t="s">
        <v>124</v>
      </c>
      <c r="K41" s="26">
        <f t="shared" si="2"/>
        <v>15</v>
      </c>
      <c r="L41" s="26">
        <v>16</v>
      </c>
      <c r="M41" s="26">
        <v>2</v>
      </c>
      <c r="N41" s="26" t="str">
        <f t="shared" si="3"/>
        <v>市川 裕貴</v>
      </c>
      <c r="O41" s="26" t="str">
        <f t="shared" si="4"/>
        <v>ｲﾁｶﾜ 　ﾋﾛﾀｶ</v>
      </c>
    </row>
    <row r="42" spans="10:15" ht="13.5" customHeight="1">
      <c r="J42" s="4" t="s">
        <v>125</v>
      </c>
      <c r="K42" s="26">
        <f aca="true" t="shared" si="5" ref="K42:K69">K37+2</f>
        <v>15</v>
      </c>
      <c r="L42" s="26">
        <v>16</v>
      </c>
      <c r="M42" s="26">
        <v>3</v>
      </c>
      <c r="N42" s="26" t="str">
        <f t="shared" si="3"/>
        <v>黒宮 健二</v>
      </c>
      <c r="O42" s="26" t="str">
        <f t="shared" si="4"/>
        <v>ｸﾛﾐﾔ 　ｹﾝｼﾞ</v>
      </c>
    </row>
    <row r="43" spans="10:15" ht="13.5" customHeight="1">
      <c r="J43" s="4" t="s">
        <v>126</v>
      </c>
      <c r="K43" s="26">
        <f t="shared" si="5"/>
        <v>15</v>
      </c>
      <c r="L43" s="26">
        <v>16</v>
      </c>
      <c r="M43" s="26">
        <v>4</v>
      </c>
      <c r="N43" s="26" t="str">
        <f t="shared" si="3"/>
        <v>杉本 諭</v>
      </c>
      <c r="O43" s="26" t="str">
        <f t="shared" si="4"/>
        <v>ｽｷﾞﾓﾄ 　ｻﾄｼ</v>
      </c>
    </row>
    <row r="44" spans="10:15" ht="13.5" customHeight="1">
      <c r="J44" s="4" t="s">
        <v>127</v>
      </c>
      <c r="K44" s="26">
        <f t="shared" si="5"/>
        <v>15</v>
      </c>
      <c r="L44" s="26">
        <v>16</v>
      </c>
      <c r="M44" s="26">
        <v>5</v>
      </c>
      <c r="N44" s="26" t="str">
        <f t="shared" si="3"/>
        <v>森本 英幸</v>
      </c>
      <c r="O44" s="26" t="str">
        <f t="shared" si="4"/>
        <v>ﾓﾘﾓﾄ 　ﾋﾃﾞﾕｷ</v>
      </c>
    </row>
    <row r="45" spans="10:15" ht="13.5" customHeight="1">
      <c r="J45" s="4" t="s">
        <v>128</v>
      </c>
      <c r="K45" s="26">
        <f t="shared" si="5"/>
        <v>17</v>
      </c>
      <c r="L45" s="26">
        <v>18</v>
      </c>
      <c r="M45" s="26">
        <v>1</v>
      </c>
      <c r="N45" s="26" t="str">
        <f t="shared" si="3"/>
        <v>木村 隼人</v>
      </c>
      <c r="O45" s="26" t="str">
        <f t="shared" si="4"/>
        <v>ｷﾑﾗ 　ﾊﾔﾄ</v>
      </c>
    </row>
    <row r="46" spans="10:15" ht="13.5" customHeight="1">
      <c r="J46" s="4" t="s">
        <v>129</v>
      </c>
      <c r="K46" s="26">
        <f t="shared" si="5"/>
        <v>17</v>
      </c>
      <c r="L46" s="26">
        <v>18</v>
      </c>
      <c r="M46" s="26">
        <v>2</v>
      </c>
      <c r="N46" s="26" t="str">
        <f t="shared" si="3"/>
        <v>辻 和美</v>
      </c>
      <c r="O46" s="26" t="str">
        <f t="shared" si="4"/>
        <v>ﾂｼﾞ 　ｶｽﾞﾖｼ</v>
      </c>
    </row>
    <row r="47" spans="10:15" ht="13.5" customHeight="1">
      <c r="J47" s="4" t="s">
        <v>130</v>
      </c>
      <c r="K47" s="26">
        <f t="shared" si="5"/>
        <v>17</v>
      </c>
      <c r="L47" s="26">
        <v>18</v>
      </c>
      <c r="M47" s="26">
        <v>3</v>
      </c>
      <c r="N47" s="26" t="str">
        <f t="shared" si="3"/>
        <v>徳永 修児</v>
      </c>
      <c r="O47" s="26" t="str">
        <f t="shared" si="4"/>
        <v>ﾄｸﾅｶﾞ 　ｼｭｳｼﾞ</v>
      </c>
    </row>
    <row r="48" spans="10:15" ht="13.5" customHeight="1">
      <c r="J48" s="4" t="s">
        <v>131</v>
      </c>
      <c r="K48" s="26">
        <f t="shared" si="5"/>
        <v>17</v>
      </c>
      <c r="L48" s="26">
        <v>18</v>
      </c>
      <c r="M48" s="26">
        <v>4</v>
      </c>
      <c r="N48" s="26" t="str">
        <f t="shared" si="3"/>
        <v>高橋 浩之</v>
      </c>
      <c r="O48" s="26" t="str">
        <f t="shared" si="4"/>
        <v>ﾀｶﾊｼ 　ﾋﾛﾕｷ</v>
      </c>
    </row>
    <row r="49" spans="10:15" ht="13.5" customHeight="1">
      <c r="J49" s="4" t="s">
        <v>132</v>
      </c>
      <c r="K49" s="26">
        <f t="shared" si="5"/>
        <v>17</v>
      </c>
      <c r="L49" s="26">
        <v>18</v>
      </c>
      <c r="M49" s="26">
        <v>5</v>
      </c>
      <c r="N49" s="26" t="str">
        <f t="shared" si="3"/>
        <v>野原 朋和</v>
      </c>
      <c r="O49" s="26" t="str">
        <f t="shared" si="4"/>
        <v>ﾉﾊﾗ 　ﾄﾓｶｽﾞ</v>
      </c>
    </row>
    <row r="50" spans="10:15" ht="13.5" customHeight="1">
      <c r="J50" s="4" t="s">
        <v>133</v>
      </c>
      <c r="K50" s="26">
        <f t="shared" si="5"/>
        <v>19</v>
      </c>
      <c r="L50" s="26">
        <v>20</v>
      </c>
      <c r="M50" s="26">
        <v>1</v>
      </c>
      <c r="N50" s="26" t="str">
        <f t="shared" si="3"/>
        <v>由本 拓</v>
      </c>
      <c r="O50" s="26" t="str">
        <f t="shared" si="4"/>
        <v>ﾖｼﾓﾄ 　ﾋﾛｼ</v>
      </c>
    </row>
    <row r="51" spans="10:15" ht="13.5" customHeight="1">
      <c r="J51" s="4" t="s">
        <v>134</v>
      </c>
      <c r="K51" s="26">
        <f t="shared" si="5"/>
        <v>19</v>
      </c>
      <c r="L51" s="26">
        <v>20</v>
      </c>
      <c r="M51" s="26">
        <v>2</v>
      </c>
      <c r="N51" s="26" t="str">
        <f t="shared" si="3"/>
        <v>西田 恵子</v>
      </c>
      <c r="O51" s="26" t="str">
        <f t="shared" si="4"/>
        <v>ﾆｼﾀﾞ 　ｹｲｺ</v>
      </c>
    </row>
    <row r="52" spans="10:15" ht="13.5" customHeight="1">
      <c r="J52" s="4" t="s">
        <v>135</v>
      </c>
      <c r="K52" s="26">
        <f t="shared" si="5"/>
        <v>19</v>
      </c>
      <c r="L52" s="26">
        <v>20</v>
      </c>
      <c r="M52" s="26">
        <v>3</v>
      </c>
      <c r="N52" s="26" t="str">
        <f t="shared" si="3"/>
        <v>野村 宗司</v>
      </c>
      <c r="O52" s="26" t="str">
        <f t="shared" si="4"/>
        <v>ﾉﾑﾗ 　ｿｳｼﾞ</v>
      </c>
    </row>
    <row r="53" spans="10:15" ht="13.5" customHeight="1">
      <c r="J53" s="4" t="s">
        <v>136</v>
      </c>
      <c r="K53" s="26">
        <f t="shared" si="5"/>
        <v>19</v>
      </c>
      <c r="L53" s="26">
        <v>20</v>
      </c>
      <c r="M53" s="26">
        <v>4</v>
      </c>
      <c r="N53" s="26" t="str">
        <f t="shared" si="3"/>
        <v>山崎 真紀子</v>
      </c>
      <c r="O53" s="26" t="str">
        <f t="shared" si="4"/>
        <v>ﾔﾏｻｷ 　ﾏｷｺ</v>
      </c>
    </row>
    <row r="54" spans="10:15" ht="13.5" customHeight="1">
      <c r="J54" s="4" t="s">
        <v>137</v>
      </c>
      <c r="K54" s="26">
        <f t="shared" si="5"/>
        <v>19</v>
      </c>
      <c r="L54" s="26">
        <v>20</v>
      </c>
      <c r="M54" s="26">
        <v>5</v>
      </c>
      <c r="N54" s="26" t="str">
        <f t="shared" si="3"/>
        <v>小森 雅昭</v>
      </c>
      <c r="O54" s="26" t="str">
        <f t="shared" si="4"/>
        <v>ｺﾓﾘ 　ﾏｻｱｷ</v>
      </c>
    </row>
    <row r="55" spans="10:15" ht="13.5" customHeight="1">
      <c r="J55" s="4" t="s">
        <v>138</v>
      </c>
      <c r="K55" s="26">
        <f t="shared" si="5"/>
        <v>21</v>
      </c>
      <c r="L55" s="26">
        <v>22</v>
      </c>
      <c r="M55" s="26">
        <v>1</v>
      </c>
      <c r="N55" s="26" t="str">
        <f t="shared" si="3"/>
        <v> </v>
      </c>
      <c r="O55" s="26" t="str">
        <f t="shared" si="4"/>
        <v> 　</v>
      </c>
    </row>
    <row r="56" spans="10:15" ht="13.5" customHeight="1">
      <c r="J56" s="4" t="s">
        <v>139</v>
      </c>
      <c r="K56" s="26">
        <f t="shared" si="5"/>
        <v>21</v>
      </c>
      <c r="L56" s="26">
        <v>22</v>
      </c>
      <c r="M56" s="26">
        <v>2</v>
      </c>
      <c r="N56" s="26" t="str">
        <f t="shared" si="3"/>
        <v> </v>
      </c>
      <c r="O56" s="26" t="str">
        <f t="shared" si="4"/>
        <v> 　</v>
      </c>
    </row>
    <row r="57" spans="10:15" ht="13.5" customHeight="1">
      <c r="J57" s="4" t="s">
        <v>140</v>
      </c>
      <c r="K57" s="26">
        <f t="shared" si="5"/>
        <v>21</v>
      </c>
      <c r="L57" s="26">
        <v>22</v>
      </c>
      <c r="M57" s="26">
        <v>3</v>
      </c>
      <c r="N57" s="26" t="str">
        <f t="shared" si="3"/>
        <v> </v>
      </c>
      <c r="O57" s="26" t="str">
        <f t="shared" si="4"/>
        <v> 　</v>
      </c>
    </row>
    <row r="58" spans="10:15" ht="13.5" customHeight="1">
      <c r="J58" s="4" t="s">
        <v>141</v>
      </c>
      <c r="K58" s="26">
        <f t="shared" si="5"/>
        <v>21</v>
      </c>
      <c r="L58" s="26">
        <v>22</v>
      </c>
      <c r="M58" s="26">
        <v>4</v>
      </c>
      <c r="N58" s="26" t="str">
        <f t="shared" si="3"/>
        <v> </v>
      </c>
      <c r="O58" s="26" t="str">
        <f t="shared" si="4"/>
        <v> 　</v>
      </c>
    </row>
    <row r="59" spans="10:15" ht="13.5" customHeight="1">
      <c r="J59" s="4" t="s">
        <v>142</v>
      </c>
      <c r="K59" s="26">
        <f t="shared" si="5"/>
        <v>21</v>
      </c>
      <c r="L59" s="26">
        <v>22</v>
      </c>
      <c r="M59" s="26">
        <v>5</v>
      </c>
      <c r="N59" s="26" t="str">
        <f t="shared" si="3"/>
        <v> </v>
      </c>
      <c r="O59" s="26" t="str">
        <f t="shared" si="4"/>
        <v> 　</v>
      </c>
    </row>
    <row r="60" spans="10:15" ht="13.5" customHeight="1">
      <c r="J60" s="4" t="s">
        <v>143</v>
      </c>
      <c r="K60" s="26">
        <f t="shared" si="5"/>
        <v>23</v>
      </c>
      <c r="L60" s="26">
        <v>24</v>
      </c>
      <c r="M60" s="26">
        <v>1</v>
      </c>
      <c r="N60" s="26" t="str">
        <f t="shared" si="3"/>
        <v> </v>
      </c>
      <c r="O60" s="26" t="str">
        <f t="shared" si="4"/>
        <v> 　</v>
      </c>
    </row>
    <row r="61" spans="10:15" ht="13.5" customHeight="1">
      <c r="J61" s="4" t="s">
        <v>144</v>
      </c>
      <c r="K61" s="26">
        <f t="shared" si="5"/>
        <v>23</v>
      </c>
      <c r="L61" s="26">
        <v>24</v>
      </c>
      <c r="M61" s="26">
        <v>2</v>
      </c>
      <c r="N61" s="26" t="str">
        <f t="shared" si="3"/>
        <v> </v>
      </c>
      <c r="O61" s="26" t="str">
        <f t="shared" si="4"/>
        <v> 　</v>
      </c>
    </row>
    <row r="62" spans="10:15" ht="13.5" customHeight="1">
      <c r="J62" s="4" t="s">
        <v>145</v>
      </c>
      <c r="K62" s="26">
        <f t="shared" si="5"/>
        <v>23</v>
      </c>
      <c r="L62" s="26">
        <v>24</v>
      </c>
      <c r="M62" s="26">
        <v>3</v>
      </c>
      <c r="N62" s="26" t="str">
        <f t="shared" si="3"/>
        <v> </v>
      </c>
      <c r="O62" s="26" t="str">
        <f t="shared" si="4"/>
        <v> 　</v>
      </c>
    </row>
    <row r="63" spans="10:15" ht="13.5" customHeight="1">
      <c r="J63" s="4" t="s">
        <v>146</v>
      </c>
      <c r="K63" s="26">
        <f t="shared" si="5"/>
        <v>23</v>
      </c>
      <c r="L63" s="26">
        <v>24</v>
      </c>
      <c r="M63" s="26">
        <v>4</v>
      </c>
      <c r="N63" s="26" t="str">
        <f t="shared" si="3"/>
        <v> </v>
      </c>
      <c r="O63" s="26" t="str">
        <f t="shared" si="4"/>
        <v> 　</v>
      </c>
    </row>
    <row r="64" spans="10:15" ht="13.5" customHeight="1">
      <c r="J64" s="4" t="s">
        <v>147</v>
      </c>
      <c r="K64" s="26">
        <f t="shared" si="5"/>
        <v>23</v>
      </c>
      <c r="L64" s="26">
        <v>24</v>
      </c>
      <c r="M64" s="26">
        <v>5</v>
      </c>
      <c r="N64" s="26" t="str">
        <f t="shared" si="3"/>
        <v> </v>
      </c>
      <c r="O64" s="26" t="str">
        <f t="shared" si="4"/>
        <v> 　</v>
      </c>
    </row>
    <row r="65" spans="10:15" ht="13.5" customHeight="1">
      <c r="J65" s="4" t="s">
        <v>148</v>
      </c>
      <c r="K65" s="26">
        <f t="shared" si="5"/>
        <v>25</v>
      </c>
      <c r="L65" s="26">
        <v>26</v>
      </c>
      <c r="M65" s="26">
        <v>1</v>
      </c>
      <c r="N65" s="26">
        <f t="shared" si="3"/>
      </c>
      <c r="O65" s="26">
        <f t="shared" si="4"/>
      </c>
    </row>
    <row r="66" spans="10:15" ht="13.5" customHeight="1">
      <c r="J66" s="4" t="s">
        <v>149</v>
      </c>
      <c r="K66" s="26">
        <f t="shared" si="5"/>
        <v>25</v>
      </c>
      <c r="L66" s="26">
        <v>26</v>
      </c>
      <c r="M66" s="26">
        <v>2</v>
      </c>
      <c r="N66" s="26">
        <f t="shared" si="3"/>
      </c>
      <c r="O66" s="26">
        <f t="shared" si="4"/>
      </c>
    </row>
    <row r="67" spans="10:15" ht="13.5" customHeight="1">
      <c r="J67" s="4" t="s">
        <v>150</v>
      </c>
      <c r="K67" s="26">
        <f t="shared" si="5"/>
        <v>25</v>
      </c>
      <c r="L67" s="26">
        <v>26</v>
      </c>
      <c r="M67" s="26">
        <v>3</v>
      </c>
      <c r="N67" s="26">
        <f t="shared" si="3"/>
      </c>
      <c r="O67" s="26">
        <f t="shared" si="4"/>
      </c>
    </row>
    <row r="68" spans="10:15" ht="13.5" customHeight="1">
      <c r="J68" s="4" t="s">
        <v>151</v>
      </c>
      <c r="K68" s="26">
        <f t="shared" si="5"/>
        <v>25</v>
      </c>
      <c r="L68" s="26">
        <v>26</v>
      </c>
      <c r="M68" s="26">
        <v>4</v>
      </c>
      <c r="N68" s="26">
        <f t="shared" si="3"/>
      </c>
      <c r="O68" s="26">
        <f t="shared" si="4"/>
      </c>
    </row>
    <row r="69" spans="10:15" ht="13.5" customHeight="1">
      <c r="J69" s="4" t="s">
        <v>152</v>
      </c>
      <c r="K69" s="26">
        <f t="shared" si="5"/>
        <v>25</v>
      </c>
      <c r="L69" s="26">
        <v>26</v>
      </c>
      <c r="M69" s="26">
        <v>5</v>
      </c>
      <c r="N69" s="26">
        <f>IF(INDEX($D$5:$H$30,L69,M69)="","",(INDEX($D$5:$H$30,L69,M69)))</f>
      </c>
      <c r="O69" s="26">
        <f t="shared" si="4"/>
      </c>
    </row>
    <row r="70" spans="14:15" ht="13.5" customHeight="1">
      <c r="N70" s="26"/>
      <c r="O70" s="26"/>
    </row>
    <row r="71" spans="14:15" ht="13.5" customHeight="1">
      <c r="N71" s="26"/>
      <c r="O71" s="26"/>
    </row>
    <row r="72" spans="14:15" ht="13.5" customHeight="1">
      <c r="N72" s="26"/>
      <c r="O72" s="26"/>
    </row>
    <row r="73" spans="14:15" ht="13.5" customHeight="1">
      <c r="N73" s="26"/>
      <c r="O73" s="26"/>
    </row>
    <row r="74" spans="14:15" ht="13.5" customHeight="1">
      <c r="N74" s="26"/>
      <c r="O74" s="26"/>
    </row>
  </sheetData>
  <sheetProtection/>
  <printOptions/>
  <pageMargins left="0.7868055555555555" right="0.7868055555555555" top="0.9833333333333333" bottom="0.9833333333333333" header="0.5111111111111111" footer="0.5111111111111111"/>
  <pageSetup fitToHeight="65535" fitToWidth="65535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332"/>
  <sheetViews>
    <sheetView zoomScaleSheetLayoutView="100" zoomScalePageLayoutView="0" workbookViewId="0" topLeftCell="A1">
      <selection activeCell="A1" sqref="A1"/>
    </sheetView>
  </sheetViews>
  <sheetFormatPr defaultColWidth="7.875" defaultRowHeight="13.5"/>
  <cols>
    <col min="1" max="5" width="3.125" style="61" customWidth="1" collapsed="1"/>
    <col min="6" max="6" width="7.875" style="61" customWidth="1" collapsed="1"/>
    <col min="7" max="11" width="3.125" style="61" customWidth="1"/>
    <col min="12" max="12" width="7.875" style="61" customWidth="1"/>
    <col min="13" max="17" width="3.125" style="61" customWidth="1"/>
    <col min="18" max="18" width="7.875" style="61" customWidth="1"/>
    <col min="19" max="25" width="3.25390625" style="61" customWidth="1"/>
    <col min="26" max="26" width="4.375" style="61" customWidth="1"/>
    <col min="27" max="27" width="3.125" style="61" customWidth="1"/>
    <col min="28" max="29" width="3.25390625" style="61" customWidth="1"/>
    <col min="30" max="16384" width="7.875" style="61" customWidth="1"/>
  </cols>
  <sheetData>
    <row r="1" spans="1:29" ht="12" customHeight="1">
      <c r="A1" s="61" t="s">
        <v>153</v>
      </c>
      <c r="G1" s="61" t="s">
        <v>154</v>
      </c>
      <c r="M1" s="61" t="s">
        <v>155</v>
      </c>
      <c r="S1" s="61" t="s">
        <v>156</v>
      </c>
      <c r="Z1" s="62"/>
      <c r="AA1" s="62">
        <v>12</v>
      </c>
      <c r="AB1" s="62" t="s">
        <v>157</v>
      </c>
      <c r="AC1" s="62"/>
    </row>
    <row r="2" spans="1:29" ht="12" customHeight="1">
      <c r="A2" s="61" t="s">
        <v>158</v>
      </c>
      <c r="B2" s="61" t="s">
        <v>159</v>
      </c>
      <c r="C2" s="61" t="s">
        <v>160</v>
      </c>
      <c r="D2" s="61" t="s">
        <v>161</v>
      </c>
      <c r="E2" s="61" t="s">
        <v>162</v>
      </c>
      <c r="G2" s="61" t="s">
        <v>158</v>
      </c>
      <c r="H2" s="61" t="s">
        <v>159</v>
      </c>
      <c r="I2" s="61" t="s">
        <v>160</v>
      </c>
      <c r="J2" s="61" t="s">
        <v>161</v>
      </c>
      <c r="K2" s="61" t="s">
        <v>162</v>
      </c>
      <c r="M2" s="61" t="s">
        <v>158</v>
      </c>
      <c r="N2" s="61" t="s">
        <v>159</v>
      </c>
      <c r="O2" s="61" t="s">
        <v>160</v>
      </c>
      <c r="P2" s="61" t="s">
        <v>161</v>
      </c>
      <c r="Q2" s="61" t="s">
        <v>162</v>
      </c>
      <c r="S2" s="61" t="s">
        <v>158</v>
      </c>
      <c r="T2" s="61" t="s">
        <v>159</v>
      </c>
      <c r="U2" s="61" t="s">
        <v>160</v>
      </c>
      <c r="V2" s="61" t="s">
        <v>161</v>
      </c>
      <c r="W2" s="61" t="s">
        <v>162</v>
      </c>
      <c r="Z2" s="62"/>
      <c r="AA2" s="61" t="s">
        <v>13</v>
      </c>
      <c r="AB2" s="62" t="s">
        <v>163</v>
      </c>
      <c r="AC2" s="62" t="s">
        <v>164</v>
      </c>
    </row>
    <row r="3" spans="1:27" ht="12" customHeight="1">
      <c r="A3" s="63">
        <v>1</v>
      </c>
      <c r="B3" s="63">
        <v>1</v>
      </c>
      <c r="C3" s="63">
        <v>2</v>
      </c>
      <c r="D3" s="63">
        <v>4</v>
      </c>
      <c r="E3" s="63">
        <v>1</v>
      </c>
      <c r="G3" s="63">
        <v>1</v>
      </c>
      <c r="H3" s="63">
        <v>1</v>
      </c>
      <c r="I3" s="63">
        <v>5</v>
      </c>
      <c r="J3" s="63">
        <v>6</v>
      </c>
      <c r="K3" s="63">
        <v>1</v>
      </c>
      <c r="M3" s="63">
        <v>1</v>
      </c>
      <c r="N3" s="63">
        <v>1</v>
      </c>
      <c r="O3" s="63">
        <v>2</v>
      </c>
      <c r="P3" s="63">
        <v>4</v>
      </c>
      <c r="Q3" s="63">
        <v>1</v>
      </c>
      <c r="S3" s="63">
        <v>1</v>
      </c>
      <c r="T3" s="63">
        <v>1</v>
      </c>
      <c r="U3" s="63">
        <f aca="true" t="shared" si="0" ref="U3:U66">VLOOKUP(T3,$AA$3:$AC$68,2,FALSE)</f>
        <v>0</v>
      </c>
      <c r="V3" s="63">
        <f>VLOOKUP(T3,$AA$2:$AC$68,3,FALSE)</f>
        <v>0</v>
      </c>
      <c r="W3" s="63">
        <v>1</v>
      </c>
      <c r="AA3" s="61">
        <v>1</v>
      </c>
    </row>
    <row r="4" spans="1:27" ht="12" customHeight="1">
      <c r="A4" s="63">
        <v>2</v>
      </c>
      <c r="B4" s="63">
        <v>1</v>
      </c>
      <c r="C4" s="63">
        <v>2</v>
      </c>
      <c r="D4" s="63">
        <v>4</v>
      </c>
      <c r="E4" s="63">
        <v>2</v>
      </c>
      <c r="G4" s="63">
        <v>2</v>
      </c>
      <c r="H4" s="63">
        <v>1</v>
      </c>
      <c r="I4" s="63">
        <v>5</v>
      </c>
      <c r="J4" s="63">
        <v>6</v>
      </c>
      <c r="K4" s="63">
        <v>2</v>
      </c>
      <c r="M4" s="63">
        <v>2</v>
      </c>
      <c r="N4" s="63">
        <v>1</v>
      </c>
      <c r="O4" s="63">
        <v>2</v>
      </c>
      <c r="P4" s="63">
        <v>4</v>
      </c>
      <c r="Q4" s="63">
        <v>2</v>
      </c>
      <c r="S4" s="63">
        <v>2</v>
      </c>
      <c r="T4" s="63">
        <v>1</v>
      </c>
      <c r="U4" s="63">
        <f t="shared" si="0"/>
        <v>0</v>
      </c>
      <c r="V4" s="63">
        <f>VLOOKUP(T4,$AA$2:$AC$68,3,FALSE)</f>
        <v>0</v>
      </c>
      <c r="W4" s="63">
        <v>2</v>
      </c>
      <c r="AA4" s="61">
        <v>2</v>
      </c>
    </row>
    <row r="5" spans="1:27" ht="12" customHeight="1">
      <c r="A5" s="63">
        <v>3</v>
      </c>
      <c r="B5" s="63">
        <v>1</v>
      </c>
      <c r="C5" s="63">
        <v>2</v>
      </c>
      <c r="D5" s="63">
        <v>4</v>
      </c>
      <c r="E5" s="63">
        <v>3</v>
      </c>
      <c r="G5" s="63">
        <v>3</v>
      </c>
      <c r="H5" s="63">
        <v>1</v>
      </c>
      <c r="I5" s="63">
        <v>5</v>
      </c>
      <c r="J5" s="63">
        <v>6</v>
      </c>
      <c r="K5" s="63">
        <v>3</v>
      </c>
      <c r="M5" s="63">
        <v>3</v>
      </c>
      <c r="N5" s="63">
        <v>1</v>
      </c>
      <c r="O5" s="63">
        <v>2</v>
      </c>
      <c r="P5" s="63">
        <v>4</v>
      </c>
      <c r="Q5" s="63">
        <v>3</v>
      </c>
      <c r="S5" s="63">
        <v>3</v>
      </c>
      <c r="T5" s="63">
        <v>1</v>
      </c>
      <c r="U5" s="63">
        <f t="shared" si="0"/>
        <v>0</v>
      </c>
      <c r="V5" s="63">
        <f>VLOOKUP(T5,$AA$2:$AC$68,3,FALSE)</f>
        <v>0</v>
      </c>
      <c r="W5" s="63">
        <v>3</v>
      </c>
      <c r="AA5" s="61">
        <v>3</v>
      </c>
    </row>
    <row r="6" spans="1:27" ht="12" customHeight="1">
      <c r="A6" s="63">
        <v>4</v>
      </c>
      <c r="B6" s="63">
        <v>1</v>
      </c>
      <c r="C6" s="63">
        <v>2</v>
      </c>
      <c r="D6" s="63">
        <v>4</v>
      </c>
      <c r="E6" s="63">
        <v>4</v>
      </c>
      <c r="G6" s="63">
        <v>4</v>
      </c>
      <c r="H6" s="63">
        <v>1</v>
      </c>
      <c r="I6" s="63">
        <v>5</v>
      </c>
      <c r="J6" s="63">
        <v>6</v>
      </c>
      <c r="K6" s="63">
        <v>4</v>
      </c>
      <c r="M6" s="63">
        <v>4</v>
      </c>
      <c r="N6" s="63">
        <v>1</v>
      </c>
      <c r="O6" s="63">
        <v>2</v>
      </c>
      <c r="P6" s="63">
        <v>4</v>
      </c>
      <c r="Q6" s="63">
        <v>4</v>
      </c>
      <c r="S6" s="63">
        <v>4</v>
      </c>
      <c r="T6" s="63">
        <v>1</v>
      </c>
      <c r="U6" s="63">
        <f t="shared" si="0"/>
        <v>0</v>
      </c>
      <c r="V6" s="63">
        <f>VLOOKUP(T6,$AA$2:$AC$68,3,FALSE)</f>
        <v>0</v>
      </c>
      <c r="W6" s="63">
        <v>4</v>
      </c>
      <c r="AA6" s="61">
        <v>4</v>
      </c>
    </row>
    <row r="7" spans="1:27" ht="12" customHeight="1">
      <c r="A7" s="63">
        <v>5</v>
      </c>
      <c r="B7" s="63">
        <v>1</v>
      </c>
      <c r="C7" s="63">
        <v>2</v>
      </c>
      <c r="D7" s="63">
        <v>4</v>
      </c>
      <c r="E7" s="63">
        <v>5</v>
      </c>
      <c r="G7" s="63">
        <v>5</v>
      </c>
      <c r="H7" s="63">
        <v>1</v>
      </c>
      <c r="I7" s="63">
        <v>5</v>
      </c>
      <c r="J7" s="63">
        <v>6</v>
      </c>
      <c r="K7" s="63">
        <v>5</v>
      </c>
      <c r="M7" s="63">
        <v>5</v>
      </c>
      <c r="N7" s="63">
        <v>1</v>
      </c>
      <c r="O7" s="63">
        <v>2</v>
      </c>
      <c r="P7" s="63">
        <v>4</v>
      </c>
      <c r="Q7" s="63">
        <v>5</v>
      </c>
      <c r="S7" s="63">
        <v>5</v>
      </c>
      <c r="T7" s="63">
        <v>1</v>
      </c>
      <c r="U7" s="63">
        <f t="shared" si="0"/>
        <v>0</v>
      </c>
      <c r="V7" s="63">
        <f>VLOOKUP(T7,$AA$2:$AC$68,3,FALSE)</f>
        <v>0</v>
      </c>
      <c r="W7" s="63">
        <v>5</v>
      </c>
      <c r="AA7" s="61">
        <v>5</v>
      </c>
    </row>
    <row r="8" spans="1:27" ht="12" customHeight="1">
      <c r="A8" s="64">
        <v>6</v>
      </c>
      <c r="B8" s="64">
        <v>2</v>
      </c>
      <c r="C8" s="64">
        <v>3</v>
      </c>
      <c r="D8" s="64">
        <v>6</v>
      </c>
      <c r="E8" s="64">
        <v>1</v>
      </c>
      <c r="G8" s="64">
        <v>6</v>
      </c>
      <c r="H8" s="64">
        <v>2</v>
      </c>
      <c r="I8" s="64">
        <v>4</v>
      </c>
      <c r="J8" s="64">
        <v>7</v>
      </c>
      <c r="K8" s="64">
        <v>1</v>
      </c>
      <c r="M8" s="64">
        <v>6</v>
      </c>
      <c r="N8" s="64">
        <v>2</v>
      </c>
      <c r="O8" s="64">
        <v>3</v>
      </c>
      <c r="P8" s="64">
        <v>6</v>
      </c>
      <c r="Q8" s="64">
        <v>1</v>
      </c>
      <c r="S8" s="64">
        <v>6</v>
      </c>
      <c r="T8" s="64">
        <f aca="true" t="shared" si="1" ref="T8:T71">T3+1</f>
        <v>2</v>
      </c>
      <c r="U8" s="64">
        <f t="shared" si="0"/>
        <v>0</v>
      </c>
      <c r="V8" s="64">
        <f>VLOOKUP(T8,$AA$3:$AC$68,3,FALSE)</f>
        <v>0</v>
      </c>
      <c r="W8" s="64">
        <v>1</v>
      </c>
      <c r="AA8" s="61">
        <v>6</v>
      </c>
    </row>
    <row r="9" spans="1:27" ht="12" customHeight="1">
      <c r="A9" s="64">
        <v>7</v>
      </c>
      <c r="B9" s="64">
        <v>2</v>
      </c>
      <c r="C9" s="64">
        <v>3</v>
      </c>
      <c r="D9" s="64">
        <v>6</v>
      </c>
      <c r="E9" s="64">
        <v>2</v>
      </c>
      <c r="G9" s="64">
        <v>7</v>
      </c>
      <c r="H9" s="64">
        <v>2</v>
      </c>
      <c r="I9" s="64">
        <v>4</v>
      </c>
      <c r="J9" s="64">
        <v>7</v>
      </c>
      <c r="K9" s="64">
        <v>2</v>
      </c>
      <c r="M9" s="64">
        <v>7</v>
      </c>
      <c r="N9" s="64">
        <v>2</v>
      </c>
      <c r="O9" s="64">
        <v>3</v>
      </c>
      <c r="P9" s="64">
        <v>6</v>
      </c>
      <c r="Q9" s="64">
        <v>2</v>
      </c>
      <c r="S9" s="64">
        <v>7</v>
      </c>
      <c r="T9" s="64">
        <f t="shared" si="1"/>
        <v>2</v>
      </c>
      <c r="U9" s="64">
        <f t="shared" si="0"/>
        <v>0</v>
      </c>
      <c r="V9" s="64">
        <f>VLOOKUP(T9,$AA$3:$AC$68,3,FALSE)</f>
        <v>0</v>
      </c>
      <c r="W9" s="64">
        <v>2</v>
      </c>
      <c r="AA9" s="61">
        <v>7</v>
      </c>
    </row>
    <row r="10" spans="1:27" ht="12" customHeight="1">
      <c r="A10" s="64">
        <v>8</v>
      </c>
      <c r="B10" s="64">
        <v>2</v>
      </c>
      <c r="C10" s="64">
        <v>3</v>
      </c>
      <c r="D10" s="64">
        <v>6</v>
      </c>
      <c r="E10" s="64">
        <v>3</v>
      </c>
      <c r="G10" s="64">
        <v>8</v>
      </c>
      <c r="H10" s="64">
        <v>2</v>
      </c>
      <c r="I10" s="64">
        <v>4</v>
      </c>
      <c r="J10" s="64">
        <v>7</v>
      </c>
      <c r="K10" s="64">
        <v>3</v>
      </c>
      <c r="M10" s="64">
        <v>8</v>
      </c>
      <c r="N10" s="64">
        <v>2</v>
      </c>
      <c r="O10" s="64">
        <v>3</v>
      </c>
      <c r="P10" s="64">
        <v>6</v>
      </c>
      <c r="Q10" s="64">
        <v>3</v>
      </c>
      <c r="S10" s="64">
        <v>8</v>
      </c>
      <c r="T10" s="64">
        <f t="shared" si="1"/>
        <v>2</v>
      </c>
      <c r="U10" s="64">
        <f t="shared" si="0"/>
        <v>0</v>
      </c>
      <c r="V10" s="64">
        <f>VLOOKUP(T10,$AA$3:$AC$68,3,FALSE)</f>
        <v>0</v>
      </c>
      <c r="W10" s="64">
        <v>3</v>
      </c>
      <c r="AA10" s="61">
        <v>8</v>
      </c>
    </row>
    <row r="11" spans="1:27" ht="12" customHeight="1">
      <c r="A11" s="64">
        <v>9</v>
      </c>
      <c r="B11" s="64">
        <v>2</v>
      </c>
      <c r="C11" s="64">
        <v>3</v>
      </c>
      <c r="D11" s="64">
        <v>6</v>
      </c>
      <c r="E11" s="64">
        <v>4</v>
      </c>
      <c r="G11" s="64">
        <v>9</v>
      </c>
      <c r="H11" s="64">
        <v>2</v>
      </c>
      <c r="I11" s="64">
        <v>4</v>
      </c>
      <c r="J11" s="64">
        <v>7</v>
      </c>
      <c r="K11" s="64">
        <v>4</v>
      </c>
      <c r="M11" s="64">
        <v>9</v>
      </c>
      <c r="N11" s="64">
        <v>2</v>
      </c>
      <c r="O11" s="64">
        <v>3</v>
      </c>
      <c r="P11" s="64">
        <v>6</v>
      </c>
      <c r="Q11" s="64">
        <v>4</v>
      </c>
      <c r="S11" s="64">
        <v>9</v>
      </c>
      <c r="T11" s="64">
        <f t="shared" si="1"/>
        <v>2</v>
      </c>
      <c r="U11" s="64">
        <f t="shared" si="0"/>
        <v>0</v>
      </c>
      <c r="V11" s="64">
        <f>VLOOKUP(T11,$AA$3:$AC$68,3,FALSE)</f>
        <v>0</v>
      </c>
      <c r="W11" s="64">
        <v>4</v>
      </c>
      <c r="AA11" s="61">
        <v>9</v>
      </c>
    </row>
    <row r="12" spans="1:27" ht="12" customHeight="1">
      <c r="A12" s="64">
        <v>10</v>
      </c>
      <c r="B12" s="64">
        <v>2</v>
      </c>
      <c r="C12" s="64">
        <v>3</v>
      </c>
      <c r="D12" s="64">
        <v>6</v>
      </c>
      <c r="E12" s="64">
        <v>5</v>
      </c>
      <c r="G12" s="64">
        <v>10</v>
      </c>
      <c r="H12" s="64">
        <v>2</v>
      </c>
      <c r="I12" s="64">
        <v>4</v>
      </c>
      <c r="J12" s="64">
        <v>7</v>
      </c>
      <c r="K12" s="64">
        <v>5</v>
      </c>
      <c r="M12" s="64">
        <v>10</v>
      </c>
      <c r="N12" s="64">
        <v>2</v>
      </c>
      <c r="O12" s="64">
        <v>3</v>
      </c>
      <c r="P12" s="64">
        <v>6</v>
      </c>
      <c r="Q12" s="64">
        <v>5</v>
      </c>
      <c r="S12" s="64">
        <v>10</v>
      </c>
      <c r="T12" s="64">
        <f t="shared" si="1"/>
        <v>2</v>
      </c>
      <c r="U12" s="64">
        <f t="shared" si="0"/>
        <v>0</v>
      </c>
      <c r="V12" s="64">
        <f>VLOOKUP(T12,$AA$3:$AC$68,3,FALSE)</f>
        <v>0</v>
      </c>
      <c r="W12" s="64">
        <v>5</v>
      </c>
      <c r="AA12" s="61">
        <v>10</v>
      </c>
    </row>
    <row r="13" spans="1:27" ht="12" customHeight="1">
      <c r="A13" s="63">
        <v>11</v>
      </c>
      <c r="B13" s="63">
        <v>3</v>
      </c>
      <c r="C13" s="63">
        <v>5</v>
      </c>
      <c r="D13" s="63">
        <v>8</v>
      </c>
      <c r="E13" s="63">
        <v>1</v>
      </c>
      <c r="G13" s="63">
        <v>11</v>
      </c>
      <c r="H13" s="63">
        <v>3</v>
      </c>
      <c r="I13" s="63">
        <v>3</v>
      </c>
      <c r="J13" s="63">
        <v>8</v>
      </c>
      <c r="K13" s="63">
        <v>1</v>
      </c>
      <c r="M13" s="63">
        <v>11</v>
      </c>
      <c r="N13" s="63">
        <v>3</v>
      </c>
      <c r="O13" s="63">
        <v>5</v>
      </c>
      <c r="P13" s="63">
        <v>8</v>
      </c>
      <c r="Q13" s="63">
        <v>1</v>
      </c>
      <c r="S13" s="63">
        <v>11</v>
      </c>
      <c r="T13" s="63">
        <f t="shared" si="1"/>
        <v>3</v>
      </c>
      <c r="U13" s="63">
        <f t="shared" si="0"/>
        <v>0</v>
      </c>
      <c r="V13" s="63">
        <f>VLOOKUP(T13,$AA$2:$AC$68,3,FALSE)</f>
        <v>0</v>
      </c>
      <c r="W13" s="63">
        <v>1</v>
      </c>
      <c r="AA13" s="61">
        <v>11</v>
      </c>
    </row>
    <row r="14" spans="1:27" ht="12" customHeight="1">
      <c r="A14" s="63">
        <v>12</v>
      </c>
      <c r="B14" s="63">
        <v>3</v>
      </c>
      <c r="C14" s="63">
        <v>5</v>
      </c>
      <c r="D14" s="63">
        <v>8</v>
      </c>
      <c r="E14" s="63">
        <v>2</v>
      </c>
      <c r="G14" s="63">
        <v>12</v>
      </c>
      <c r="H14" s="63">
        <v>3</v>
      </c>
      <c r="I14" s="63">
        <v>3</v>
      </c>
      <c r="J14" s="63">
        <v>8</v>
      </c>
      <c r="K14" s="63">
        <v>2</v>
      </c>
      <c r="M14" s="63">
        <v>12</v>
      </c>
      <c r="N14" s="63">
        <v>3</v>
      </c>
      <c r="O14" s="63">
        <v>5</v>
      </c>
      <c r="P14" s="63">
        <v>8</v>
      </c>
      <c r="Q14" s="63">
        <v>2</v>
      </c>
      <c r="S14" s="63">
        <v>12</v>
      </c>
      <c r="T14" s="63">
        <f t="shared" si="1"/>
        <v>3</v>
      </c>
      <c r="U14" s="63">
        <f t="shared" si="0"/>
        <v>0</v>
      </c>
      <c r="V14" s="63">
        <f>VLOOKUP(T14,$AA$2:$AC$68,3,FALSE)</f>
        <v>0</v>
      </c>
      <c r="W14" s="63">
        <v>2</v>
      </c>
      <c r="AA14" s="61">
        <v>12</v>
      </c>
    </row>
    <row r="15" spans="1:27" ht="12" customHeight="1">
      <c r="A15" s="63">
        <v>13</v>
      </c>
      <c r="B15" s="63">
        <v>3</v>
      </c>
      <c r="C15" s="63">
        <v>5</v>
      </c>
      <c r="D15" s="63">
        <v>8</v>
      </c>
      <c r="E15" s="63">
        <v>3</v>
      </c>
      <c r="G15" s="63">
        <v>13</v>
      </c>
      <c r="H15" s="63">
        <v>3</v>
      </c>
      <c r="I15" s="63">
        <v>3</v>
      </c>
      <c r="J15" s="63">
        <v>8</v>
      </c>
      <c r="K15" s="63">
        <v>3</v>
      </c>
      <c r="M15" s="63">
        <v>13</v>
      </c>
      <c r="N15" s="63">
        <v>3</v>
      </c>
      <c r="O15" s="63">
        <v>5</v>
      </c>
      <c r="P15" s="63">
        <v>8</v>
      </c>
      <c r="Q15" s="63">
        <v>3</v>
      </c>
      <c r="S15" s="63">
        <v>13</v>
      </c>
      <c r="T15" s="63">
        <f t="shared" si="1"/>
        <v>3</v>
      </c>
      <c r="U15" s="63">
        <f t="shared" si="0"/>
        <v>0</v>
      </c>
      <c r="V15" s="63">
        <f>VLOOKUP(T15,$AA$2:$AC$68,3,FALSE)</f>
        <v>0</v>
      </c>
      <c r="W15" s="63">
        <v>3</v>
      </c>
      <c r="AA15" s="61">
        <v>13</v>
      </c>
    </row>
    <row r="16" spans="1:27" ht="12" customHeight="1">
      <c r="A16" s="63">
        <v>14</v>
      </c>
      <c r="B16" s="63">
        <v>3</v>
      </c>
      <c r="C16" s="63">
        <v>5</v>
      </c>
      <c r="D16" s="63">
        <v>8</v>
      </c>
      <c r="E16" s="63">
        <v>4</v>
      </c>
      <c r="G16" s="63">
        <v>14</v>
      </c>
      <c r="H16" s="63">
        <v>3</v>
      </c>
      <c r="I16" s="63">
        <v>3</v>
      </c>
      <c r="J16" s="63">
        <v>8</v>
      </c>
      <c r="K16" s="63">
        <v>4</v>
      </c>
      <c r="M16" s="63">
        <v>14</v>
      </c>
      <c r="N16" s="63">
        <v>3</v>
      </c>
      <c r="O16" s="63">
        <v>5</v>
      </c>
      <c r="P16" s="63">
        <v>8</v>
      </c>
      <c r="Q16" s="63">
        <v>4</v>
      </c>
      <c r="S16" s="63">
        <v>14</v>
      </c>
      <c r="T16" s="63">
        <f t="shared" si="1"/>
        <v>3</v>
      </c>
      <c r="U16" s="63">
        <f t="shared" si="0"/>
        <v>0</v>
      </c>
      <c r="V16" s="63">
        <f>VLOOKUP(T16,$AA$2:$AC$68,3,FALSE)</f>
        <v>0</v>
      </c>
      <c r="W16" s="63">
        <v>4</v>
      </c>
      <c r="AA16" s="61">
        <v>14</v>
      </c>
    </row>
    <row r="17" spans="1:27" ht="12" customHeight="1">
      <c r="A17" s="63">
        <v>15</v>
      </c>
      <c r="B17" s="63">
        <v>3</v>
      </c>
      <c r="C17" s="63">
        <v>5</v>
      </c>
      <c r="D17" s="63">
        <v>8</v>
      </c>
      <c r="E17" s="63">
        <v>5</v>
      </c>
      <c r="G17" s="63">
        <v>15</v>
      </c>
      <c r="H17" s="63">
        <v>3</v>
      </c>
      <c r="I17" s="63">
        <v>3</v>
      </c>
      <c r="J17" s="63">
        <v>8</v>
      </c>
      <c r="K17" s="63">
        <v>5</v>
      </c>
      <c r="M17" s="63">
        <v>15</v>
      </c>
      <c r="N17" s="63">
        <v>3</v>
      </c>
      <c r="O17" s="63">
        <v>5</v>
      </c>
      <c r="P17" s="63">
        <v>8</v>
      </c>
      <c r="Q17" s="63">
        <v>5</v>
      </c>
      <c r="S17" s="63">
        <v>15</v>
      </c>
      <c r="T17" s="63">
        <f t="shared" si="1"/>
        <v>3</v>
      </c>
      <c r="U17" s="63">
        <f t="shared" si="0"/>
        <v>0</v>
      </c>
      <c r="V17" s="63">
        <f>VLOOKUP(T17,$AA$2:$AC$68,3,FALSE)</f>
        <v>0</v>
      </c>
      <c r="W17" s="63">
        <v>5</v>
      </c>
      <c r="AA17" s="61">
        <v>15</v>
      </c>
    </row>
    <row r="18" spans="1:27" ht="12" customHeight="1">
      <c r="A18" s="64">
        <v>16</v>
      </c>
      <c r="B18" s="64">
        <v>4</v>
      </c>
      <c r="C18" s="64">
        <v>7</v>
      </c>
      <c r="D18" s="64">
        <v>9</v>
      </c>
      <c r="E18" s="64">
        <v>1</v>
      </c>
      <c r="G18" s="64">
        <v>16</v>
      </c>
      <c r="H18" s="64">
        <v>4</v>
      </c>
      <c r="I18" s="64">
        <v>2</v>
      </c>
      <c r="J18" s="64">
        <v>9</v>
      </c>
      <c r="K18" s="64">
        <v>1</v>
      </c>
      <c r="M18" s="64">
        <v>16</v>
      </c>
      <c r="N18" s="64">
        <v>4</v>
      </c>
      <c r="O18" s="64">
        <v>7</v>
      </c>
      <c r="P18" s="64">
        <v>10</v>
      </c>
      <c r="Q18" s="64">
        <v>1</v>
      </c>
      <c r="S18" s="64">
        <v>16</v>
      </c>
      <c r="T18" s="64">
        <f t="shared" si="1"/>
        <v>4</v>
      </c>
      <c r="U18" s="64">
        <f t="shared" si="0"/>
        <v>0</v>
      </c>
      <c r="V18" s="64">
        <f>VLOOKUP(T18,$AA$3:$AC$68,3,FALSE)</f>
        <v>0</v>
      </c>
      <c r="W18" s="64">
        <v>1</v>
      </c>
      <c r="AA18" s="61">
        <v>16</v>
      </c>
    </row>
    <row r="19" spans="1:27" ht="12" customHeight="1">
      <c r="A19" s="64">
        <v>17</v>
      </c>
      <c r="B19" s="64">
        <v>4</v>
      </c>
      <c r="C19" s="64">
        <v>7</v>
      </c>
      <c r="D19" s="64">
        <v>9</v>
      </c>
      <c r="E19" s="64">
        <v>2</v>
      </c>
      <c r="G19" s="64">
        <v>17</v>
      </c>
      <c r="H19" s="64">
        <v>4</v>
      </c>
      <c r="I19" s="64">
        <v>2</v>
      </c>
      <c r="J19" s="64">
        <v>9</v>
      </c>
      <c r="K19" s="64">
        <v>2</v>
      </c>
      <c r="M19" s="64">
        <v>17</v>
      </c>
      <c r="N19" s="64">
        <v>4</v>
      </c>
      <c r="O19" s="64">
        <v>7</v>
      </c>
      <c r="P19" s="64">
        <v>10</v>
      </c>
      <c r="Q19" s="64">
        <v>2</v>
      </c>
      <c r="S19" s="64">
        <v>17</v>
      </c>
      <c r="T19" s="64">
        <f t="shared" si="1"/>
        <v>4</v>
      </c>
      <c r="U19" s="64">
        <f t="shared" si="0"/>
        <v>0</v>
      </c>
      <c r="V19" s="64">
        <f>VLOOKUP(T19,$AA$3:$AC$68,3,FALSE)</f>
        <v>0</v>
      </c>
      <c r="W19" s="64">
        <v>2</v>
      </c>
      <c r="AA19" s="61">
        <v>17</v>
      </c>
    </row>
    <row r="20" spans="1:27" ht="12" customHeight="1">
      <c r="A20" s="64">
        <v>18</v>
      </c>
      <c r="B20" s="64">
        <v>4</v>
      </c>
      <c r="C20" s="64">
        <v>7</v>
      </c>
      <c r="D20" s="64">
        <v>9</v>
      </c>
      <c r="E20" s="64">
        <v>3</v>
      </c>
      <c r="G20" s="64">
        <v>18</v>
      </c>
      <c r="H20" s="64">
        <v>4</v>
      </c>
      <c r="I20" s="64">
        <v>2</v>
      </c>
      <c r="J20" s="64">
        <v>9</v>
      </c>
      <c r="K20" s="64">
        <v>3</v>
      </c>
      <c r="M20" s="64">
        <v>18</v>
      </c>
      <c r="N20" s="64">
        <v>4</v>
      </c>
      <c r="O20" s="64">
        <v>7</v>
      </c>
      <c r="P20" s="64">
        <v>10</v>
      </c>
      <c r="Q20" s="64">
        <v>3</v>
      </c>
      <c r="S20" s="64">
        <v>18</v>
      </c>
      <c r="T20" s="64">
        <f t="shared" si="1"/>
        <v>4</v>
      </c>
      <c r="U20" s="64">
        <f t="shared" si="0"/>
        <v>0</v>
      </c>
      <c r="V20" s="64">
        <f>VLOOKUP(T20,$AA$3:$AC$68,3,FALSE)</f>
        <v>0</v>
      </c>
      <c r="W20" s="64">
        <v>3</v>
      </c>
      <c r="AA20" s="61">
        <v>18</v>
      </c>
    </row>
    <row r="21" spans="1:27" ht="12" customHeight="1">
      <c r="A21" s="64">
        <v>19</v>
      </c>
      <c r="B21" s="64">
        <v>4</v>
      </c>
      <c r="C21" s="64">
        <v>7</v>
      </c>
      <c r="D21" s="64">
        <v>9</v>
      </c>
      <c r="E21" s="64">
        <v>4</v>
      </c>
      <c r="G21" s="64">
        <v>19</v>
      </c>
      <c r="H21" s="64">
        <v>4</v>
      </c>
      <c r="I21" s="64">
        <v>2</v>
      </c>
      <c r="J21" s="64">
        <v>9</v>
      </c>
      <c r="K21" s="64">
        <v>4</v>
      </c>
      <c r="M21" s="64">
        <v>19</v>
      </c>
      <c r="N21" s="64">
        <v>4</v>
      </c>
      <c r="O21" s="64">
        <v>7</v>
      </c>
      <c r="P21" s="64">
        <v>10</v>
      </c>
      <c r="Q21" s="64">
        <v>4</v>
      </c>
      <c r="S21" s="64">
        <v>19</v>
      </c>
      <c r="T21" s="64">
        <f t="shared" si="1"/>
        <v>4</v>
      </c>
      <c r="U21" s="64">
        <f t="shared" si="0"/>
        <v>0</v>
      </c>
      <c r="V21" s="64">
        <f>VLOOKUP(T21,$AA$3:$AC$68,3,FALSE)</f>
        <v>0</v>
      </c>
      <c r="W21" s="64">
        <v>4</v>
      </c>
      <c r="AA21" s="61">
        <v>19</v>
      </c>
    </row>
    <row r="22" spans="1:27" ht="12" customHeight="1">
      <c r="A22" s="64">
        <v>20</v>
      </c>
      <c r="B22" s="64">
        <v>4</v>
      </c>
      <c r="C22" s="64">
        <v>7</v>
      </c>
      <c r="D22" s="64">
        <v>9</v>
      </c>
      <c r="E22" s="64">
        <v>5</v>
      </c>
      <c r="G22" s="64">
        <v>20</v>
      </c>
      <c r="H22" s="64">
        <v>4</v>
      </c>
      <c r="I22" s="64">
        <v>2</v>
      </c>
      <c r="J22" s="64">
        <v>9</v>
      </c>
      <c r="K22" s="64">
        <v>5</v>
      </c>
      <c r="M22" s="64">
        <v>20</v>
      </c>
      <c r="N22" s="64">
        <v>4</v>
      </c>
      <c r="O22" s="64">
        <v>7</v>
      </c>
      <c r="P22" s="64">
        <v>10</v>
      </c>
      <c r="Q22" s="64">
        <v>5</v>
      </c>
      <c r="S22" s="64">
        <v>20</v>
      </c>
      <c r="T22" s="64">
        <f t="shared" si="1"/>
        <v>4</v>
      </c>
      <c r="U22" s="64">
        <f t="shared" si="0"/>
        <v>0</v>
      </c>
      <c r="V22" s="64">
        <f>VLOOKUP(T22,$AA$3:$AC$68,3,FALSE)</f>
        <v>0</v>
      </c>
      <c r="W22" s="64">
        <v>5</v>
      </c>
      <c r="AA22" s="61">
        <v>20</v>
      </c>
    </row>
    <row r="23" spans="1:27" ht="12" customHeight="1">
      <c r="A23" s="63">
        <v>21</v>
      </c>
      <c r="B23" s="63">
        <v>5</v>
      </c>
      <c r="C23" s="63">
        <v>4</v>
      </c>
      <c r="D23" s="63">
        <v>1</v>
      </c>
      <c r="E23" s="63">
        <v>1</v>
      </c>
      <c r="G23" s="63">
        <v>21</v>
      </c>
      <c r="H23" s="63">
        <v>5</v>
      </c>
      <c r="I23" s="63">
        <v>1</v>
      </c>
      <c r="J23" s="63">
        <v>10</v>
      </c>
      <c r="K23" s="63">
        <v>1</v>
      </c>
      <c r="M23" s="63">
        <v>21</v>
      </c>
      <c r="N23" s="63">
        <v>5</v>
      </c>
      <c r="O23" s="63">
        <v>9</v>
      </c>
      <c r="P23" s="63">
        <v>11</v>
      </c>
      <c r="Q23" s="63">
        <v>1</v>
      </c>
      <c r="S23" s="63">
        <v>21</v>
      </c>
      <c r="T23" s="63">
        <f t="shared" si="1"/>
        <v>5</v>
      </c>
      <c r="U23" s="63">
        <f t="shared" si="0"/>
        <v>0</v>
      </c>
      <c r="V23" s="63">
        <f>VLOOKUP(T23,$AA$2:$AC$68,3,FALSE)</f>
        <v>0</v>
      </c>
      <c r="W23" s="63">
        <v>1</v>
      </c>
      <c r="AA23" s="61">
        <v>21</v>
      </c>
    </row>
    <row r="24" spans="1:27" ht="12" customHeight="1">
      <c r="A24" s="63">
        <v>22</v>
      </c>
      <c r="B24" s="63">
        <v>5</v>
      </c>
      <c r="C24" s="63">
        <v>4</v>
      </c>
      <c r="D24" s="63">
        <v>1</v>
      </c>
      <c r="E24" s="63">
        <v>2</v>
      </c>
      <c r="G24" s="63">
        <v>22</v>
      </c>
      <c r="H24" s="63">
        <v>5</v>
      </c>
      <c r="I24" s="63">
        <v>1</v>
      </c>
      <c r="J24" s="63">
        <v>10</v>
      </c>
      <c r="K24" s="63">
        <v>2</v>
      </c>
      <c r="M24" s="63">
        <v>22</v>
      </c>
      <c r="N24" s="63">
        <v>5</v>
      </c>
      <c r="O24" s="63">
        <v>9</v>
      </c>
      <c r="P24" s="63">
        <v>11</v>
      </c>
      <c r="Q24" s="63">
        <v>2</v>
      </c>
      <c r="S24" s="63">
        <v>22</v>
      </c>
      <c r="T24" s="63">
        <f t="shared" si="1"/>
        <v>5</v>
      </c>
      <c r="U24" s="63">
        <f t="shared" si="0"/>
        <v>0</v>
      </c>
      <c r="V24" s="63">
        <f>VLOOKUP(T24,$AA$2:$AC$68,3,FALSE)</f>
        <v>0</v>
      </c>
      <c r="W24" s="63">
        <v>2</v>
      </c>
      <c r="AA24" s="61">
        <v>22</v>
      </c>
    </row>
    <row r="25" spans="1:27" ht="12" customHeight="1">
      <c r="A25" s="63">
        <v>23</v>
      </c>
      <c r="B25" s="63">
        <v>5</v>
      </c>
      <c r="C25" s="63">
        <v>4</v>
      </c>
      <c r="D25" s="63">
        <v>1</v>
      </c>
      <c r="E25" s="63">
        <v>3</v>
      </c>
      <c r="G25" s="63">
        <v>23</v>
      </c>
      <c r="H25" s="63">
        <v>5</v>
      </c>
      <c r="I25" s="63">
        <v>1</v>
      </c>
      <c r="J25" s="63">
        <v>10</v>
      </c>
      <c r="K25" s="63">
        <v>3</v>
      </c>
      <c r="M25" s="63">
        <v>23</v>
      </c>
      <c r="N25" s="63">
        <v>5</v>
      </c>
      <c r="O25" s="63">
        <v>9</v>
      </c>
      <c r="P25" s="63">
        <v>11</v>
      </c>
      <c r="Q25" s="63">
        <v>3</v>
      </c>
      <c r="S25" s="63">
        <v>23</v>
      </c>
      <c r="T25" s="63">
        <f t="shared" si="1"/>
        <v>5</v>
      </c>
      <c r="U25" s="63">
        <f t="shared" si="0"/>
        <v>0</v>
      </c>
      <c r="V25" s="63">
        <f>VLOOKUP(T25,$AA$2:$AC$68,3,FALSE)</f>
        <v>0</v>
      </c>
      <c r="W25" s="63">
        <v>3</v>
      </c>
      <c r="AA25" s="61">
        <v>23</v>
      </c>
    </row>
    <row r="26" spans="1:27" ht="12" customHeight="1">
      <c r="A26" s="63">
        <v>24</v>
      </c>
      <c r="B26" s="63">
        <v>5</v>
      </c>
      <c r="C26" s="63">
        <v>4</v>
      </c>
      <c r="D26" s="63">
        <v>1</v>
      </c>
      <c r="E26" s="63">
        <v>4</v>
      </c>
      <c r="G26" s="63">
        <v>24</v>
      </c>
      <c r="H26" s="63">
        <v>5</v>
      </c>
      <c r="I26" s="63">
        <v>1</v>
      </c>
      <c r="J26" s="63">
        <v>10</v>
      </c>
      <c r="K26" s="63">
        <v>4</v>
      </c>
      <c r="M26" s="63">
        <v>24</v>
      </c>
      <c r="N26" s="63">
        <v>5</v>
      </c>
      <c r="O26" s="63">
        <v>9</v>
      </c>
      <c r="P26" s="63">
        <v>11</v>
      </c>
      <c r="Q26" s="63">
        <v>4</v>
      </c>
      <c r="S26" s="63">
        <v>24</v>
      </c>
      <c r="T26" s="63">
        <f t="shared" si="1"/>
        <v>5</v>
      </c>
      <c r="U26" s="63">
        <f t="shared" si="0"/>
        <v>0</v>
      </c>
      <c r="V26" s="63">
        <f>VLOOKUP(T26,$AA$2:$AC$68,3,FALSE)</f>
        <v>0</v>
      </c>
      <c r="W26" s="63">
        <v>4</v>
      </c>
      <c r="AA26" s="61">
        <v>24</v>
      </c>
    </row>
    <row r="27" spans="1:27" ht="12" customHeight="1">
      <c r="A27" s="63">
        <v>25</v>
      </c>
      <c r="B27" s="63">
        <v>5</v>
      </c>
      <c r="C27" s="63">
        <v>4</v>
      </c>
      <c r="D27" s="63">
        <v>1</v>
      </c>
      <c r="E27" s="63">
        <v>5</v>
      </c>
      <c r="G27" s="63">
        <v>25</v>
      </c>
      <c r="H27" s="63">
        <v>5</v>
      </c>
      <c r="I27" s="63">
        <v>1</v>
      </c>
      <c r="J27" s="63">
        <v>10</v>
      </c>
      <c r="K27" s="63">
        <v>5</v>
      </c>
      <c r="M27" s="63">
        <v>25</v>
      </c>
      <c r="N27" s="63">
        <v>5</v>
      </c>
      <c r="O27" s="63">
        <v>9</v>
      </c>
      <c r="P27" s="63">
        <v>11</v>
      </c>
      <c r="Q27" s="63">
        <v>5</v>
      </c>
      <c r="S27" s="63">
        <v>25</v>
      </c>
      <c r="T27" s="63">
        <f t="shared" si="1"/>
        <v>5</v>
      </c>
      <c r="U27" s="63">
        <f t="shared" si="0"/>
        <v>0</v>
      </c>
      <c r="V27" s="63">
        <f>VLOOKUP(T27,$AA$2:$AC$68,3,FALSE)</f>
        <v>0</v>
      </c>
      <c r="W27" s="63">
        <v>5</v>
      </c>
      <c r="AA27" s="61">
        <v>25</v>
      </c>
    </row>
    <row r="28" spans="1:27" ht="12" customHeight="1">
      <c r="A28" s="64">
        <v>26</v>
      </c>
      <c r="B28" s="64">
        <v>6</v>
      </c>
      <c r="C28" s="64">
        <v>2</v>
      </c>
      <c r="D28" s="64">
        <v>6</v>
      </c>
      <c r="E28" s="64">
        <v>1</v>
      </c>
      <c r="G28" s="64">
        <v>26</v>
      </c>
      <c r="H28" s="64">
        <v>6</v>
      </c>
      <c r="I28" s="64">
        <v>4</v>
      </c>
      <c r="J28" s="64">
        <v>5</v>
      </c>
      <c r="K28" s="64">
        <v>1</v>
      </c>
      <c r="M28" s="64">
        <v>26</v>
      </c>
      <c r="N28" s="64">
        <v>6</v>
      </c>
      <c r="O28" s="64">
        <v>4</v>
      </c>
      <c r="P28" s="64">
        <v>1</v>
      </c>
      <c r="Q28" s="64">
        <v>1</v>
      </c>
      <c r="S28" s="64">
        <v>26</v>
      </c>
      <c r="T28" s="64">
        <f t="shared" si="1"/>
        <v>6</v>
      </c>
      <c r="U28" s="64">
        <f t="shared" si="0"/>
        <v>0</v>
      </c>
      <c r="V28" s="64">
        <f>VLOOKUP(T28,$AA$3:$AC$68,3,FALSE)</f>
        <v>0</v>
      </c>
      <c r="W28" s="64">
        <v>1</v>
      </c>
      <c r="AA28" s="61">
        <v>26</v>
      </c>
    </row>
    <row r="29" spans="1:27" ht="12" customHeight="1">
      <c r="A29" s="64">
        <v>27</v>
      </c>
      <c r="B29" s="64">
        <v>6</v>
      </c>
      <c r="C29" s="64">
        <v>2</v>
      </c>
      <c r="D29" s="64">
        <v>6</v>
      </c>
      <c r="E29" s="64">
        <v>2</v>
      </c>
      <c r="G29" s="64">
        <v>27</v>
      </c>
      <c r="H29" s="64">
        <v>6</v>
      </c>
      <c r="I29" s="64">
        <v>4</v>
      </c>
      <c r="J29" s="64">
        <v>5</v>
      </c>
      <c r="K29" s="64">
        <v>2</v>
      </c>
      <c r="M29" s="64">
        <v>27</v>
      </c>
      <c r="N29" s="64">
        <v>6</v>
      </c>
      <c r="O29" s="64">
        <v>4</v>
      </c>
      <c r="P29" s="64">
        <v>1</v>
      </c>
      <c r="Q29" s="64">
        <v>2</v>
      </c>
      <c r="S29" s="64">
        <v>27</v>
      </c>
      <c r="T29" s="64">
        <f t="shared" si="1"/>
        <v>6</v>
      </c>
      <c r="U29" s="64">
        <f t="shared" si="0"/>
        <v>0</v>
      </c>
      <c r="V29" s="64">
        <f>VLOOKUP(T29,$AA$3:$AC$68,3,FALSE)</f>
        <v>0</v>
      </c>
      <c r="W29" s="64">
        <v>2</v>
      </c>
      <c r="AA29" s="61">
        <v>27</v>
      </c>
    </row>
    <row r="30" spans="1:27" ht="12" customHeight="1">
      <c r="A30" s="64">
        <v>28</v>
      </c>
      <c r="B30" s="64">
        <v>6</v>
      </c>
      <c r="C30" s="64">
        <v>2</v>
      </c>
      <c r="D30" s="64">
        <v>6</v>
      </c>
      <c r="E30" s="64">
        <v>3</v>
      </c>
      <c r="G30" s="64">
        <v>28</v>
      </c>
      <c r="H30" s="64">
        <v>6</v>
      </c>
      <c r="I30" s="64">
        <v>4</v>
      </c>
      <c r="J30" s="64">
        <v>5</v>
      </c>
      <c r="K30" s="64">
        <v>3</v>
      </c>
      <c r="M30" s="64">
        <v>28</v>
      </c>
      <c r="N30" s="64">
        <v>6</v>
      </c>
      <c r="O30" s="64">
        <v>4</v>
      </c>
      <c r="P30" s="64">
        <v>1</v>
      </c>
      <c r="Q30" s="64">
        <v>3</v>
      </c>
      <c r="S30" s="64">
        <v>28</v>
      </c>
      <c r="T30" s="64">
        <f t="shared" si="1"/>
        <v>6</v>
      </c>
      <c r="U30" s="64">
        <f t="shared" si="0"/>
        <v>0</v>
      </c>
      <c r="V30" s="64">
        <f>VLOOKUP(T30,$AA$3:$AC$68,3,FALSE)</f>
        <v>0</v>
      </c>
      <c r="W30" s="64">
        <v>3</v>
      </c>
      <c r="AA30" s="61">
        <v>28</v>
      </c>
    </row>
    <row r="31" spans="1:27" ht="12" customHeight="1">
      <c r="A31" s="64">
        <v>29</v>
      </c>
      <c r="B31" s="64">
        <v>6</v>
      </c>
      <c r="C31" s="64">
        <v>2</v>
      </c>
      <c r="D31" s="64">
        <v>6</v>
      </c>
      <c r="E31" s="64">
        <v>4</v>
      </c>
      <c r="G31" s="64">
        <v>29</v>
      </c>
      <c r="H31" s="64">
        <v>6</v>
      </c>
      <c r="I31" s="64">
        <v>4</v>
      </c>
      <c r="J31" s="64">
        <v>5</v>
      </c>
      <c r="K31" s="64">
        <v>4</v>
      </c>
      <c r="M31" s="64">
        <v>29</v>
      </c>
      <c r="N31" s="64">
        <v>6</v>
      </c>
      <c r="O31" s="64">
        <v>4</v>
      </c>
      <c r="P31" s="64">
        <v>1</v>
      </c>
      <c r="Q31" s="64">
        <v>4</v>
      </c>
      <c r="S31" s="64">
        <v>29</v>
      </c>
      <c r="T31" s="64">
        <f t="shared" si="1"/>
        <v>6</v>
      </c>
      <c r="U31" s="64">
        <f t="shared" si="0"/>
        <v>0</v>
      </c>
      <c r="V31" s="64">
        <f>VLOOKUP(T31,$AA$3:$AC$68,3,FALSE)</f>
        <v>0</v>
      </c>
      <c r="W31" s="64">
        <v>4</v>
      </c>
      <c r="AA31" s="61">
        <v>29</v>
      </c>
    </row>
    <row r="32" spans="1:27" ht="12" customHeight="1">
      <c r="A32" s="64">
        <v>30</v>
      </c>
      <c r="B32" s="64">
        <v>6</v>
      </c>
      <c r="C32" s="64">
        <v>2</v>
      </c>
      <c r="D32" s="64">
        <v>6</v>
      </c>
      <c r="E32" s="64">
        <v>5</v>
      </c>
      <c r="G32" s="64">
        <v>30</v>
      </c>
      <c r="H32" s="64">
        <v>6</v>
      </c>
      <c r="I32" s="64">
        <v>4</v>
      </c>
      <c r="J32" s="64">
        <v>5</v>
      </c>
      <c r="K32" s="64">
        <v>5</v>
      </c>
      <c r="M32" s="64">
        <v>30</v>
      </c>
      <c r="N32" s="64">
        <v>6</v>
      </c>
      <c r="O32" s="64">
        <v>4</v>
      </c>
      <c r="P32" s="64">
        <v>1</v>
      </c>
      <c r="Q32" s="64">
        <v>5</v>
      </c>
      <c r="S32" s="64">
        <v>30</v>
      </c>
      <c r="T32" s="64">
        <f t="shared" si="1"/>
        <v>6</v>
      </c>
      <c r="U32" s="64">
        <f t="shared" si="0"/>
        <v>0</v>
      </c>
      <c r="V32" s="64">
        <f>VLOOKUP(T32,$AA$3:$AC$68,3,FALSE)</f>
        <v>0</v>
      </c>
      <c r="W32" s="64">
        <v>5</v>
      </c>
      <c r="AA32" s="61">
        <v>30</v>
      </c>
    </row>
    <row r="33" spans="1:27" ht="12" customHeight="1">
      <c r="A33" s="63">
        <v>31</v>
      </c>
      <c r="B33" s="63">
        <v>7</v>
      </c>
      <c r="C33" s="63">
        <v>3</v>
      </c>
      <c r="D33" s="63">
        <v>8</v>
      </c>
      <c r="E33" s="63">
        <v>1</v>
      </c>
      <c r="G33" s="63">
        <v>31</v>
      </c>
      <c r="H33" s="63">
        <v>7</v>
      </c>
      <c r="I33" s="63">
        <v>3</v>
      </c>
      <c r="J33" s="63">
        <v>6</v>
      </c>
      <c r="K33" s="63">
        <v>1</v>
      </c>
      <c r="M33" s="63">
        <v>31</v>
      </c>
      <c r="N33" s="63">
        <v>7</v>
      </c>
      <c r="O33" s="63">
        <v>2</v>
      </c>
      <c r="P33" s="63">
        <v>6</v>
      </c>
      <c r="Q33" s="63">
        <v>1</v>
      </c>
      <c r="S33" s="63">
        <v>31</v>
      </c>
      <c r="T33" s="63">
        <f t="shared" si="1"/>
        <v>7</v>
      </c>
      <c r="U33" s="63">
        <f t="shared" si="0"/>
        <v>0</v>
      </c>
      <c r="V33" s="63">
        <f>VLOOKUP(T33,$AA$2:$AC$68,3,FALSE)</f>
        <v>0</v>
      </c>
      <c r="W33" s="63">
        <v>1</v>
      </c>
      <c r="AA33" s="61">
        <v>31</v>
      </c>
    </row>
    <row r="34" spans="1:27" ht="12" customHeight="1">
      <c r="A34" s="63">
        <v>32</v>
      </c>
      <c r="B34" s="63">
        <v>7</v>
      </c>
      <c r="C34" s="63">
        <v>3</v>
      </c>
      <c r="D34" s="63">
        <v>8</v>
      </c>
      <c r="E34" s="63">
        <v>2</v>
      </c>
      <c r="G34" s="63">
        <v>32</v>
      </c>
      <c r="H34" s="63">
        <v>7</v>
      </c>
      <c r="I34" s="63">
        <v>3</v>
      </c>
      <c r="J34" s="63">
        <v>6</v>
      </c>
      <c r="K34" s="63">
        <v>2</v>
      </c>
      <c r="M34" s="63">
        <v>32</v>
      </c>
      <c r="N34" s="63">
        <v>7</v>
      </c>
      <c r="O34" s="63">
        <v>2</v>
      </c>
      <c r="P34" s="63">
        <v>6</v>
      </c>
      <c r="Q34" s="63">
        <v>2</v>
      </c>
      <c r="S34" s="63">
        <v>32</v>
      </c>
      <c r="T34" s="63">
        <f t="shared" si="1"/>
        <v>7</v>
      </c>
      <c r="U34" s="63">
        <f t="shared" si="0"/>
        <v>0</v>
      </c>
      <c r="V34" s="63">
        <f>VLOOKUP(T34,$AA$2:$AC$68,3,FALSE)</f>
        <v>0</v>
      </c>
      <c r="W34" s="63">
        <v>2</v>
      </c>
      <c r="AA34" s="61">
        <v>32</v>
      </c>
    </row>
    <row r="35" spans="1:27" ht="12" customHeight="1">
      <c r="A35" s="63">
        <v>33</v>
      </c>
      <c r="B35" s="63">
        <v>7</v>
      </c>
      <c r="C35" s="63">
        <v>3</v>
      </c>
      <c r="D35" s="63">
        <v>8</v>
      </c>
      <c r="E35" s="63">
        <v>3</v>
      </c>
      <c r="G35" s="63">
        <v>33</v>
      </c>
      <c r="H35" s="63">
        <v>7</v>
      </c>
      <c r="I35" s="63">
        <v>3</v>
      </c>
      <c r="J35" s="63">
        <v>6</v>
      </c>
      <c r="K35" s="63">
        <v>3</v>
      </c>
      <c r="M35" s="63">
        <v>33</v>
      </c>
      <c r="N35" s="63">
        <v>7</v>
      </c>
      <c r="O35" s="63">
        <v>2</v>
      </c>
      <c r="P35" s="63">
        <v>6</v>
      </c>
      <c r="Q35" s="63">
        <v>3</v>
      </c>
      <c r="S35" s="63">
        <v>33</v>
      </c>
      <c r="T35" s="63">
        <f t="shared" si="1"/>
        <v>7</v>
      </c>
      <c r="U35" s="63">
        <f t="shared" si="0"/>
        <v>0</v>
      </c>
      <c r="V35" s="63">
        <f>VLOOKUP(T35,$AA$2:$AC$68,3,FALSE)</f>
        <v>0</v>
      </c>
      <c r="W35" s="63">
        <v>3</v>
      </c>
      <c r="AA35" s="61">
        <v>33</v>
      </c>
    </row>
    <row r="36" spans="1:27" ht="12" customHeight="1">
      <c r="A36" s="63">
        <v>34</v>
      </c>
      <c r="B36" s="63">
        <v>7</v>
      </c>
      <c r="C36" s="63">
        <v>3</v>
      </c>
      <c r="D36" s="63">
        <v>8</v>
      </c>
      <c r="E36" s="63">
        <v>4</v>
      </c>
      <c r="G36" s="63">
        <v>34</v>
      </c>
      <c r="H36" s="63">
        <v>7</v>
      </c>
      <c r="I36" s="63">
        <v>3</v>
      </c>
      <c r="J36" s="63">
        <v>6</v>
      </c>
      <c r="K36" s="63">
        <v>4</v>
      </c>
      <c r="M36" s="63">
        <v>34</v>
      </c>
      <c r="N36" s="63">
        <v>7</v>
      </c>
      <c r="O36" s="63">
        <v>2</v>
      </c>
      <c r="P36" s="63">
        <v>6</v>
      </c>
      <c r="Q36" s="63">
        <v>4</v>
      </c>
      <c r="S36" s="63">
        <v>34</v>
      </c>
      <c r="T36" s="63">
        <f t="shared" si="1"/>
        <v>7</v>
      </c>
      <c r="U36" s="63">
        <f t="shared" si="0"/>
        <v>0</v>
      </c>
      <c r="V36" s="63">
        <f>VLOOKUP(T36,$AA$2:$AC$68,3,FALSE)</f>
        <v>0</v>
      </c>
      <c r="W36" s="63">
        <v>4</v>
      </c>
      <c r="AA36" s="61">
        <v>34</v>
      </c>
    </row>
    <row r="37" spans="1:27" ht="12" customHeight="1">
      <c r="A37" s="63">
        <v>35</v>
      </c>
      <c r="B37" s="63">
        <v>7</v>
      </c>
      <c r="C37" s="63">
        <v>3</v>
      </c>
      <c r="D37" s="63">
        <v>8</v>
      </c>
      <c r="E37" s="63">
        <v>5</v>
      </c>
      <c r="G37" s="63">
        <v>35</v>
      </c>
      <c r="H37" s="63">
        <v>7</v>
      </c>
      <c r="I37" s="63">
        <v>3</v>
      </c>
      <c r="J37" s="63">
        <v>6</v>
      </c>
      <c r="K37" s="63">
        <v>5</v>
      </c>
      <c r="M37" s="63">
        <v>35</v>
      </c>
      <c r="N37" s="63">
        <v>7</v>
      </c>
      <c r="O37" s="63">
        <v>2</v>
      </c>
      <c r="P37" s="63">
        <v>6</v>
      </c>
      <c r="Q37" s="63">
        <v>5</v>
      </c>
      <c r="S37" s="63">
        <v>35</v>
      </c>
      <c r="T37" s="63">
        <f t="shared" si="1"/>
        <v>7</v>
      </c>
      <c r="U37" s="63">
        <f t="shared" si="0"/>
        <v>0</v>
      </c>
      <c r="V37" s="63">
        <f>VLOOKUP(T37,$AA$2:$AC$68,3,FALSE)</f>
        <v>0</v>
      </c>
      <c r="W37" s="63">
        <v>5</v>
      </c>
      <c r="AA37" s="61">
        <v>35</v>
      </c>
    </row>
    <row r="38" spans="1:27" ht="12" customHeight="1">
      <c r="A38" s="64">
        <v>36</v>
      </c>
      <c r="B38" s="64">
        <v>8</v>
      </c>
      <c r="C38" s="64">
        <v>5</v>
      </c>
      <c r="D38" s="64">
        <v>9</v>
      </c>
      <c r="E38" s="64">
        <v>1</v>
      </c>
      <c r="G38" s="64">
        <v>36</v>
      </c>
      <c r="H38" s="64">
        <v>8</v>
      </c>
      <c r="I38" s="64">
        <v>2</v>
      </c>
      <c r="J38" s="64">
        <v>7</v>
      </c>
      <c r="K38" s="64">
        <v>1</v>
      </c>
      <c r="M38" s="64">
        <v>36</v>
      </c>
      <c r="N38" s="64">
        <v>8</v>
      </c>
      <c r="O38" s="64">
        <v>3</v>
      </c>
      <c r="P38" s="64">
        <v>8</v>
      </c>
      <c r="Q38" s="64">
        <v>1</v>
      </c>
      <c r="S38" s="64">
        <v>36</v>
      </c>
      <c r="T38" s="64">
        <f t="shared" si="1"/>
        <v>8</v>
      </c>
      <c r="U38" s="64">
        <f t="shared" si="0"/>
        <v>0</v>
      </c>
      <c r="V38" s="64">
        <f>VLOOKUP(T38,$AA$3:$AC$68,3,FALSE)</f>
        <v>0</v>
      </c>
      <c r="W38" s="64">
        <v>1</v>
      </c>
      <c r="AA38" s="61">
        <v>36</v>
      </c>
    </row>
    <row r="39" spans="1:27" ht="12" customHeight="1">
      <c r="A39" s="64">
        <v>37</v>
      </c>
      <c r="B39" s="64">
        <v>8</v>
      </c>
      <c r="C39" s="64">
        <v>5</v>
      </c>
      <c r="D39" s="64">
        <v>9</v>
      </c>
      <c r="E39" s="64">
        <v>2</v>
      </c>
      <c r="G39" s="64">
        <v>37</v>
      </c>
      <c r="H39" s="64">
        <v>8</v>
      </c>
      <c r="I39" s="64">
        <v>2</v>
      </c>
      <c r="J39" s="64">
        <v>7</v>
      </c>
      <c r="K39" s="64">
        <v>2</v>
      </c>
      <c r="M39" s="64">
        <v>37</v>
      </c>
      <c r="N39" s="64">
        <v>8</v>
      </c>
      <c r="O39" s="64">
        <v>3</v>
      </c>
      <c r="P39" s="64">
        <v>8</v>
      </c>
      <c r="Q39" s="64">
        <v>2</v>
      </c>
      <c r="S39" s="64">
        <v>37</v>
      </c>
      <c r="T39" s="64">
        <f t="shared" si="1"/>
        <v>8</v>
      </c>
      <c r="U39" s="64">
        <f t="shared" si="0"/>
        <v>0</v>
      </c>
      <c r="V39" s="64">
        <f>VLOOKUP(T39,$AA$3:$AC$68,3,FALSE)</f>
        <v>0</v>
      </c>
      <c r="W39" s="64">
        <v>2</v>
      </c>
      <c r="AA39" s="61">
        <v>37</v>
      </c>
    </row>
    <row r="40" spans="1:27" ht="12" customHeight="1">
      <c r="A40" s="64">
        <v>38</v>
      </c>
      <c r="B40" s="64">
        <v>8</v>
      </c>
      <c r="C40" s="64">
        <v>5</v>
      </c>
      <c r="D40" s="64">
        <v>9</v>
      </c>
      <c r="E40" s="64">
        <v>3</v>
      </c>
      <c r="G40" s="64">
        <v>38</v>
      </c>
      <c r="H40" s="64">
        <v>8</v>
      </c>
      <c r="I40" s="64">
        <v>2</v>
      </c>
      <c r="J40" s="64">
        <v>7</v>
      </c>
      <c r="K40" s="64">
        <v>3</v>
      </c>
      <c r="M40" s="64">
        <v>38</v>
      </c>
      <c r="N40" s="64">
        <v>8</v>
      </c>
      <c r="O40" s="64">
        <v>3</v>
      </c>
      <c r="P40" s="64">
        <v>8</v>
      </c>
      <c r="Q40" s="64">
        <v>3</v>
      </c>
      <c r="S40" s="64">
        <v>38</v>
      </c>
      <c r="T40" s="64">
        <f t="shared" si="1"/>
        <v>8</v>
      </c>
      <c r="U40" s="64">
        <f t="shared" si="0"/>
        <v>0</v>
      </c>
      <c r="V40" s="64">
        <f>VLOOKUP(T40,$AA$3:$AC$68,3,FALSE)</f>
        <v>0</v>
      </c>
      <c r="W40" s="64">
        <v>3</v>
      </c>
      <c r="AA40" s="61">
        <v>38</v>
      </c>
    </row>
    <row r="41" spans="1:27" ht="12" customHeight="1">
      <c r="A41" s="64">
        <v>39</v>
      </c>
      <c r="B41" s="64">
        <v>8</v>
      </c>
      <c r="C41" s="64">
        <v>5</v>
      </c>
      <c r="D41" s="64">
        <v>9</v>
      </c>
      <c r="E41" s="64">
        <v>4</v>
      </c>
      <c r="G41" s="64">
        <v>39</v>
      </c>
      <c r="H41" s="64">
        <v>8</v>
      </c>
      <c r="I41" s="64">
        <v>2</v>
      </c>
      <c r="J41" s="64">
        <v>7</v>
      </c>
      <c r="K41" s="64">
        <v>4</v>
      </c>
      <c r="M41" s="64">
        <v>39</v>
      </c>
      <c r="N41" s="64">
        <v>8</v>
      </c>
      <c r="O41" s="64">
        <v>3</v>
      </c>
      <c r="P41" s="64">
        <v>8</v>
      </c>
      <c r="Q41" s="64">
        <v>4</v>
      </c>
      <c r="S41" s="64">
        <v>39</v>
      </c>
      <c r="T41" s="64">
        <f t="shared" si="1"/>
        <v>8</v>
      </c>
      <c r="U41" s="64">
        <f t="shared" si="0"/>
        <v>0</v>
      </c>
      <c r="V41" s="64">
        <f>VLOOKUP(T41,$AA$3:$AC$68,3,FALSE)</f>
        <v>0</v>
      </c>
      <c r="W41" s="64">
        <v>4</v>
      </c>
      <c r="AA41" s="61">
        <v>39</v>
      </c>
    </row>
    <row r="42" spans="1:27" ht="12" customHeight="1">
      <c r="A42" s="64">
        <v>40</v>
      </c>
      <c r="B42" s="64">
        <v>8</v>
      </c>
      <c r="C42" s="64">
        <v>5</v>
      </c>
      <c r="D42" s="64">
        <v>9</v>
      </c>
      <c r="E42" s="64">
        <v>5</v>
      </c>
      <c r="G42" s="64">
        <v>40</v>
      </c>
      <c r="H42" s="64">
        <v>8</v>
      </c>
      <c r="I42" s="64">
        <v>2</v>
      </c>
      <c r="J42" s="64">
        <v>7</v>
      </c>
      <c r="K42" s="64">
        <v>5</v>
      </c>
      <c r="M42" s="64">
        <v>40</v>
      </c>
      <c r="N42" s="64">
        <v>8</v>
      </c>
      <c r="O42" s="64">
        <v>3</v>
      </c>
      <c r="P42" s="64">
        <v>8</v>
      </c>
      <c r="Q42" s="64">
        <v>5</v>
      </c>
      <c r="S42" s="64">
        <v>40</v>
      </c>
      <c r="T42" s="64">
        <f t="shared" si="1"/>
        <v>8</v>
      </c>
      <c r="U42" s="64">
        <f t="shared" si="0"/>
        <v>0</v>
      </c>
      <c r="V42" s="64">
        <f>VLOOKUP(T42,$AA$3:$AC$68,3,FALSE)</f>
        <v>0</v>
      </c>
      <c r="W42" s="64">
        <v>5</v>
      </c>
      <c r="AA42" s="61">
        <v>40</v>
      </c>
    </row>
    <row r="43" spans="1:27" ht="12" customHeight="1">
      <c r="A43" s="63">
        <v>41</v>
      </c>
      <c r="B43" s="63">
        <v>9</v>
      </c>
      <c r="C43" s="63">
        <v>1</v>
      </c>
      <c r="D43" s="63">
        <v>7</v>
      </c>
      <c r="E43" s="63">
        <v>1</v>
      </c>
      <c r="G43" s="63">
        <v>41</v>
      </c>
      <c r="H43" s="63">
        <v>9</v>
      </c>
      <c r="I43" s="63">
        <v>10</v>
      </c>
      <c r="J43" s="63">
        <v>8</v>
      </c>
      <c r="K43" s="63">
        <v>1</v>
      </c>
      <c r="M43" s="63">
        <v>41</v>
      </c>
      <c r="N43" s="63">
        <v>9</v>
      </c>
      <c r="O43" s="63">
        <v>5</v>
      </c>
      <c r="P43" s="63">
        <v>10</v>
      </c>
      <c r="Q43" s="63">
        <v>1</v>
      </c>
      <c r="S43" s="63">
        <v>41</v>
      </c>
      <c r="T43" s="63">
        <f t="shared" si="1"/>
        <v>9</v>
      </c>
      <c r="U43" s="63">
        <f t="shared" si="0"/>
        <v>0</v>
      </c>
      <c r="V43" s="63">
        <f>VLOOKUP(T43,$AA$2:$AC$68,3,FALSE)</f>
        <v>0</v>
      </c>
      <c r="W43" s="63">
        <v>1</v>
      </c>
      <c r="AA43" s="61">
        <v>41</v>
      </c>
    </row>
    <row r="44" spans="1:27" ht="12" customHeight="1">
      <c r="A44" s="63">
        <v>42</v>
      </c>
      <c r="B44" s="63">
        <v>9</v>
      </c>
      <c r="C44" s="63">
        <v>1</v>
      </c>
      <c r="D44" s="63">
        <v>7</v>
      </c>
      <c r="E44" s="63">
        <v>2</v>
      </c>
      <c r="G44" s="63">
        <v>42</v>
      </c>
      <c r="H44" s="63">
        <v>9</v>
      </c>
      <c r="I44" s="63">
        <v>10</v>
      </c>
      <c r="J44" s="63">
        <v>8</v>
      </c>
      <c r="K44" s="63">
        <v>2</v>
      </c>
      <c r="M44" s="63">
        <v>42</v>
      </c>
      <c r="N44" s="63">
        <v>9</v>
      </c>
      <c r="O44" s="63">
        <v>5</v>
      </c>
      <c r="P44" s="63">
        <v>10</v>
      </c>
      <c r="Q44" s="63">
        <v>2</v>
      </c>
      <c r="S44" s="63">
        <v>42</v>
      </c>
      <c r="T44" s="63">
        <f t="shared" si="1"/>
        <v>9</v>
      </c>
      <c r="U44" s="63">
        <f t="shared" si="0"/>
        <v>0</v>
      </c>
      <c r="V44" s="63">
        <f>VLOOKUP(T44,$AA$2:$AC$68,3,FALSE)</f>
        <v>0</v>
      </c>
      <c r="W44" s="63">
        <v>2</v>
      </c>
      <c r="AA44" s="61">
        <v>42</v>
      </c>
    </row>
    <row r="45" spans="1:27" ht="12" customHeight="1">
      <c r="A45" s="63">
        <v>43</v>
      </c>
      <c r="B45" s="63">
        <v>9</v>
      </c>
      <c r="C45" s="63">
        <v>1</v>
      </c>
      <c r="D45" s="63">
        <v>7</v>
      </c>
      <c r="E45" s="63">
        <v>3</v>
      </c>
      <c r="G45" s="63">
        <v>43</v>
      </c>
      <c r="H45" s="63">
        <v>9</v>
      </c>
      <c r="I45" s="63">
        <v>10</v>
      </c>
      <c r="J45" s="63">
        <v>8</v>
      </c>
      <c r="K45" s="63">
        <v>3</v>
      </c>
      <c r="M45" s="63">
        <v>43</v>
      </c>
      <c r="N45" s="63">
        <v>9</v>
      </c>
      <c r="O45" s="63">
        <v>5</v>
      </c>
      <c r="P45" s="63">
        <v>10</v>
      </c>
      <c r="Q45" s="63">
        <v>3</v>
      </c>
      <c r="S45" s="63">
        <v>43</v>
      </c>
      <c r="T45" s="63">
        <f t="shared" si="1"/>
        <v>9</v>
      </c>
      <c r="U45" s="63">
        <f t="shared" si="0"/>
        <v>0</v>
      </c>
      <c r="V45" s="63">
        <f>VLOOKUP(T45,$AA$2:$AC$68,3,FALSE)</f>
        <v>0</v>
      </c>
      <c r="W45" s="63">
        <v>3</v>
      </c>
      <c r="AA45" s="61">
        <v>43</v>
      </c>
    </row>
    <row r="46" spans="1:27" ht="12" customHeight="1">
      <c r="A46" s="63">
        <v>44</v>
      </c>
      <c r="B46" s="63">
        <v>9</v>
      </c>
      <c r="C46" s="63">
        <v>1</v>
      </c>
      <c r="D46" s="63">
        <v>7</v>
      </c>
      <c r="E46" s="63">
        <v>4</v>
      </c>
      <c r="G46" s="63">
        <v>44</v>
      </c>
      <c r="H46" s="63">
        <v>9</v>
      </c>
      <c r="I46" s="63">
        <v>10</v>
      </c>
      <c r="J46" s="63">
        <v>8</v>
      </c>
      <c r="K46" s="63">
        <v>4</v>
      </c>
      <c r="M46" s="63">
        <v>44</v>
      </c>
      <c r="N46" s="63">
        <v>9</v>
      </c>
      <c r="O46" s="63">
        <v>5</v>
      </c>
      <c r="P46" s="63">
        <v>10</v>
      </c>
      <c r="Q46" s="63">
        <v>4</v>
      </c>
      <c r="S46" s="63">
        <v>44</v>
      </c>
      <c r="T46" s="63">
        <f t="shared" si="1"/>
        <v>9</v>
      </c>
      <c r="U46" s="63">
        <f t="shared" si="0"/>
        <v>0</v>
      </c>
      <c r="V46" s="63">
        <f>VLOOKUP(T46,$AA$2:$AC$68,3,FALSE)</f>
        <v>0</v>
      </c>
      <c r="W46" s="63">
        <v>4</v>
      </c>
      <c r="AA46" s="61">
        <v>44</v>
      </c>
    </row>
    <row r="47" spans="1:27" ht="12" customHeight="1">
      <c r="A47" s="63">
        <v>45</v>
      </c>
      <c r="B47" s="63">
        <v>9</v>
      </c>
      <c r="C47" s="63">
        <v>1</v>
      </c>
      <c r="D47" s="63">
        <v>7</v>
      </c>
      <c r="E47" s="63">
        <v>5</v>
      </c>
      <c r="G47" s="63">
        <v>45</v>
      </c>
      <c r="H47" s="63">
        <v>9</v>
      </c>
      <c r="I47" s="63">
        <v>10</v>
      </c>
      <c r="J47" s="63">
        <v>8</v>
      </c>
      <c r="K47" s="63">
        <v>5</v>
      </c>
      <c r="M47" s="63">
        <v>45</v>
      </c>
      <c r="N47" s="63">
        <v>9</v>
      </c>
      <c r="O47" s="63">
        <v>5</v>
      </c>
      <c r="P47" s="63">
        <v>10</v>
      </c>
      <c r="Q47" s="63">
        <v>5</v>
      </c>
      <c r="S47" s="63">
        <v>45</v>
      </c>
      <c r="T47" s="63">
        <f t="shared" si="1"/>
        <v>9</v>
      </c>
      <c r="U47" s="63">
        <f t="shared" si="0"/>
        <v>0</v>
      </c>
      <c r="V47" s="63">
        <f>VLOOKUP(T47,$AA$2:$AC$68,3,FALSE)</f>
        <v>0</v>
      </c>
      <c r="W47" s="63">
        <v>5</v>
      </c>
      <c r="AA47" s="61">
        <v>45</v>
      </c>
    </row>
    <row r="48" spans="1:27" ht="12" customHeight="1">
      <c r="A48" s="64">
        <v>46</v>
      </c>
      <c r="B48" s="64">
        <v>10</v>
      </c>
      <c r="C48" s="64">
        <v>4</v>
      </c>
      <c r="D48" s="64">
        <v>6</v>
      </c>
      <c r="E48" s="64">
        <v>1</v>
      </c>
      <c r="G48" s="64">
        <v>46</v>
      </c>
      <c r="H48" s="64">
        <v>10</v>
      </c>
      <c r="I48" s="64">
        <v>1</v>
      </c>
      <c r="J48" s="64">
        <v>9</v>
      </c>
      <c r="K48" s="64">
        <v>1</v>
      </c>
      <c r="M48" s="64">
        <v>46</v>
      </c>
      <c r="N48" s="64">
        <v>10</v>
      </c>
      <c r="O48" s="64">
        <v>7</v>
      </c>
      <c r="P48" s="64">
        <v>11</v>
      </c>
      <c r="Q48" s="64">
        <v>1</v>
      </c>
      <c r="S48" s="64">
        <v>46</v>
      </c>
      <c r="T48" s="64">
        <f t="shared" si="1"/>
        <v>10</v>
      </c>
      <c r="U48" s="64">
        <f t="shared" si="0"/>
        <v>0</v>
      </c>
      <c r="V48" s="64">
        <f>VLOOKUP(T48,$AA$3:$AC$68,3,FALSE)</f>
        <v>0</v>
      </c>
      <c r="W48" s="64">
        <v>1</v>
      </c>
      <c r="AA48" s="61">
        <v>46</v>
      </c>
    </row>
    <row r="49" spans="1:27" ht="12" customHeight="1">
      <c r="A49" s="64">
        <v>47</v>
      </c>
      <c r="B49" s="64">
        <v>10</v>
      </c>
      <c r="C49" s="64">
        <v>4</v>
      </c>
      <c r="D49" s="64">
        <v>6</v>
      </c>
      <c r="E49" s="64">
        <v>2</v>
      </c>
      <c r="G49" s="64">
        <v>47</v>
      </c>
      <c r="H49" s="64">
        <v>10</v>
      </c>
      <c r="I49" s="64">
        <v>1</v>
      </c>
      <c r="J49" s="64">
        <v>9</v>
      </c>
      <c r="K49" s="64">
        <v>2</v>
      </c>
      <c r="M49" s="64">
        <v>47</v>
      </c>
      <c r="N49" s="64">
        <v>10</v>
      </c>
      <c r="O49" s="64">
        <v>7</v>
      </c>
      <c r="P49" s="64">
        <v>11</v>
      </c>
      <c r="Q49" s="64">
        <v>2</v>
      </c>
      <c r="S49" s="64">
        <v>47</v>
      </c>
      <c r="T49" s="64">
        <f t="shared" si="1"/>
        <v>10</v>
      </c>
      <c r="U49" s="64">
        <f t="shared" si="0"/>
        <v>0</v>
      </c>
      <c r="V49" s="64">
        <f>VLOOKUP(T49,$AA$3:$AC$68,3,FALSE)</f>
        <v>0</v>
      </c>
      <c r="W49" s="64">
        <v>2</v>
      </c>
      <c r="AA49" s="61">
        <v>47</v>
      </c>
    </row>
    <row r="50" spans="1:27" ht="12" customHeight="1">
      <c r="A50" s="64">
        <v>48</v>
      </c>
      <c r="B50" s="64">
        <v>10</v>
      </c>
      <c r="C50" s="64">
        <v>4</v>
      </c>
      <c r="D50" s="64">
        <v>6</v>
      </c>
      <c r="E50" s="64">
        <v>3</v>
      </c>
      <c r="G50" s="64">
        <v>48</v>
      </c>
      <c r="H50" s="64">
        <v>10</v>
      </c>
      <c r="I50" s="64">
        <v>1</v>
      </c>
      <c r="J50" s="64">
        <v>9</v>
      </c>
      <c r="K50" s="64">
        <v>3</v>
      </c>
      <c r="M50" s="64">
        <v>48</v>
      </c>
      <c r="N50" s="64">
        <v>10</v>
      </c>
      <c r="O50" s="64">
        <v>7</v>
      </c>
      <c r="P50" s="64">
        <v>11</v>
      </c>
      <c r="Q50" s="64">
        <v>3</v>
      </c>
      <c r="S50" s="64">
        <v>48</v>
      </c>
      <c r="T50" s="64">
        <f t="shared" si="1"/>
        <v>10</v>
      </c>
      <c r="U50" s="64">
        <f t="shared" si="0"/>
        <v>0</v>
      </c>
      <c r="V50" s="64">
        <f>VLOOKUP(T50,$AA$3:$AC$68,3,FALSE)</f>
        <v>0</v>
      </c>
      <c r="W50" s="64">
        <v>3</v>
      </c>
      <c r="AA50" s="61">
        <v>48</v>
      </c>
    </row>
    <row r="51" spans="1:27" ht="12" customHeight="1">
      <c r="A51" s="64">
        <v>49</v>
      </c>
      <c r="B51" s="64">
        <v>10</v>
      </c>
      <c r="C51" s="64">
        <v>4</v>
      </c>
      <c r="D51" s="64">
        <v>6</v>
      </c>
      <c r="E51" s="64">
        <v>4</v>
      </c>
      <c r="G51" s="64">
        <v>49</v>
      </c>
      <c r="H51" s="64">
        <v>10</v>
      </c>
      <c r="I51" s="64">
        <v>1</v>
      </c>
      <c r="J51" s="64">
        <v>9</v>
      </c>
      <c r="K51" s="64">
        <v>4</v>
      </c>
      <c r="M51" s="64">
        <v>49</v>
      </c>
      <c r="N51" s="64">
        <v>10</v>
      </c>
      <c r="O51" s="64">
        <v>7</v>
      </c>
      <c r="P51" s="64">
        <v>11</v>
      </c>
      <c r="Q51" s="64">
        <v>4</v>
      </c>
      <c r="S51" s="64">
        <v>49</v>
      </c>
      <c r="T51" s="64">
        <f t="shared" si="1"/>
        <v>10</v>
      </c>
      <c r="U51" s="64">
        <f t="shared" si="0"/>
        <v>0</v>
      </c>
      <c r="V51" s="64">
        <f>VLOOKUP(T51,$AA$3:$AC$68,3,FALSE)</f>
        <v>0</v>
      </c>
      <c r="W51" s="64">
        <v>4</v>
      </c>
      <c r="AA51" s="61">
        <v>49</v>
      </c>
    </row>
    <row r="52" spans="1:27" ht="12" customHeight="1">
      <c r="A52" s="64">
        <v>50</v>
      </c>
      <c r="B52" s="64">
        <v>10</v>
      </c>
      <c r="C52" s="64">
        <v>4</v>
      </c>
      <c r="D52" s="64">
        <v>6</v>
      </c>
      <c r="E52" s="64">
        <v>5</v>
      </c>
      <c r="G52" s="64">
        <v>50</v>
      </c>
      <c r="H52" s="64">
        <v>10</v>
      </c>
      <c r="I52" s="64">
        <v>1</v>
      </c>
      <c r="J52" s="64">
        <v>9</v>
      </c>
      <c r="K52" s="64">
        <v>5</v>
      </c>
      <c r="M52" s="64">
        <v>50</v>
      </c>
      <c r="N52" s="64">
        <v>10</v>
      </c>
      <c r="O52" s="64">
        <v>7</v>
      </c>
      <c r="P52" s="64">
        <v>11</v>
      </c>
      <c r="Q52" s="64">
        <v>5</v>
      </c>
      <c r="S52" s="64">
        <v>50</v>
      </c>
      <c r="T52" s="64">
        <f t="shared" si="1"/>
        <v>10</v>
      </c>
      <c r="U52" s="64">
        <f t="shared" si="0"/>
        <v>0</v>
      </c>
      <c r="V52" s="64">
        <f>VLOOKUP(T52,$AA$3:$AC$68,3,FALSE)</f>
        <v>0</v>
      </c>
      <c r="W52" s="64">
        <v>5</v>
      </c>
      <c r="AA52" s="61">
        <v>50</v>
      </c>
    </row>
    <row r="53" spans="1:27" ht="12" customHeight="1">
      <c r="A53" s="63">
        <v>51</v>
      </c>
      <c r="B53" s="63">
        <v>11</v>
      </c>
      <c r="C53" s="63">
        <v>2</v>
      </c>
      <c r="D53" s="63">
        <v>8</v>
      </c>
      <c r="E53" s="63">
        <v>1</v>
      </c>
      <c r="G53" s="63">
        <v>51</v>
      </c>
      <c r="H53" s="63">
        <v>11</v>
      </c>
      <c r="I53" s="63">
        <v>3</v>
      </c>
      <c r="J53" s="63">
        <v>4</v>
      </c>
      <c r="K53" s="63">
        <v>1</v>
      </c>
      <c r="M53" s="63">
        <v>51</v>
      </c>
      <c r="N53" s="63">
        <v>11</v>
      </c>
      <c r="O53" s="63">
        <v>1</v>
      </c>
      <c r="P53" s="63">
        <v>9</v>
      </c>
      <c r="Q53" s="63">
        <v>1</v>
      </c>
      <c r="S53" s="63">
        <v>51</v>
      </c>
      <c r="T53" s="63">
        <f t="shared" si="1"/>
        <v>11</v>
      </c>
      <c r="U53" s="63">
        <f t="shared" si="0"/>
        <v>0</v>
      </c>
      <c r="V53" s="63">
        <f>VLOOKUP(T53,$AA$2:$AC$68,3,FALSE)</f>
        <v>0</v>
      </c>
      <c r="W53" s="63">
        <v>1</v>
      </c>
      <c r="AA53" s="61">
        <v>51</v>
      </c>
    </row>
    <row r="54" spans="1:27" ht="12" customHeight="1">
      <c r="A54" s="63">
        <v>52</v>
      </c>
      <c r="B54" s="63">
        <v>11</v>
      </c>
      <c r="C54" s="63">
        <v>2</v>
      </c>
      <c r="D54" s="63">
        <v>8</v>
      </c>
      <c r="E54" s="63">
        <v>2</v>
      </c>
      <c r="G54" s="63">
        <v>52</v>
      </c>
      <c r="H54" s="63">
        <v>11</v>
      </c>
      <c r="I54" s="63">
        <v>3</v>
      </c>
      <c r="J54" s="63">
        <v>4</v>
      </c>
      <c r="K54" s="63">
        <v>2</v>
      </c>
      <c r="M54" s="63">
        <v>52</v>
      </c>
      <c r="N54" s="63">
        <v>11</v>
      </c>
      <c r="O54" s="63">
        <v>1</v>
      </c>
      <c r="P54" s="63">
        <v>9</v>
      </c>
      <c r="Q54" s="63">
        <v>2</v>
      </c>
      <c r="S54" s="63">
        <v>52</v>
      </c>
      <c r="T54" s="63">
        <f t="shared" si="1"/>
        <v>11</v>
      </c>
      <c r="U54" s="63">
        <f t="shared" si="0"/>
        <v>0</v>
      </c>
      <c r="V54" s="63">
        <f>VLOOKUP(T54,$AA$2:$AC$68,3,FALSE)</f>
        <v>0</v>
      </c>
      <c r="W54" s="63">
        <v>2</v>
      </c>
      <c r="AA54" s="61">
        <v>52</v>
      </c>
    </row>
    <row r="55" spans="1:27" ht="12" customHeight="1">
      <c r="A55" s="63">
        <v>53</v>
      </c>
      <c r="B55" s="63">
        <v>11</v>
      </c>
      <c r="C55" s="63">
        <v>2</v>
      </c>
      <c r="D55" s="63">
        <v>8</v>
      </c>
      <c r="E55" s="63">
        <v>3</v>
      </c>
      <c r="G55" s="63">
        <v>53</v>
      </c>
      <c r="H55" s="63">
        <v>11</v>
      </c>
      <c r="I55" s="63">
        <v>3</v>
      </c>
      <c r="J55" s="63">
        <v>4</v>
      </c>
      <c r="K55" s="63">
        <v>3</v>
      </c>
      <c r="M55" s="63">
        <v>53</v>
      </c>
      <c r="N55" s="63">
        <v>11</v>
      </c>
      <c r="O55" s="63">
        <v>1</v>
      </c>
      <c r="P55" s="63">
        <v>9</v>
      </c>
      <c r="Q55" s="63">
        <v>3</v>
      </c>
      <c r="S55" s="63">
        <v>53</v>
      </c>
      <c r="T55" s="63">
        <f t="shared" si="1"/>
        <v>11</v>
      </c>
      <c r="U55" s="63">
        <f t="shared" si="0"/>
        <v>0</v>
      </c>
      <c r="V55" s="63">
        <f>VLOOKUP(T55,$AA$2:$AC$68,3,FALSE)</f>
        <v>0</v>
      </c>
      <c r="W55" s="63">
        <v>3</v>
      </c>
      <c r="AA55" s="61">
        <v>53</v>
      </c>
    </row>
    <row r="56" spans="1:27" ht="12" customHeight="1">
      <c r="A56" s="63">
        <v>54</v>
      </c>
      <c r="B56" s="63">
        <v>11</v>
      </c>
      <c r="C56" s="63">
        <v>2</v>
      </c>
      <c r="D56" s="63">
        <v>8</v>
      </c>
      <c r="E56" s="63">
        <v>4</v>
      </c>
      <c r="G56" s="63">
        <v>54</v>
      </c>
      <c r="H56" s="63">
        <v>11</v>
      </c>
      <c r="I56" s="63">
        <v>3</v>
      </c>
      <c r="J56" s="63">
        <v>4</v>
      </c>
      <c r="K56" s="63">
        <v>4</v>
      </c>
      <c r="M56" s="63">
        <v>54</v>
      </c>
      <c r="N56" s="63">
        <v>11</v>
      </c>
      <c r="O56" s="63">
        <v>1</v>
      </c>
      <c r="P56" s="63">
        <v>9</v>
      </c>
      <c r="Q56" s="63">
        <v>4</v>
      </c>
      <c r="S56" s="63">
        <v>54</v>
      </c>
      <c r="T56" s="63">
        <f t="shared" si="1"/>
        <v>11</v>
      </c>
      <c r="U56" s="63">
        <f t="shared" si="0"/>
        <v>0</v>
      </c>
      <c r="V56" s="63">
        <f>VLOOKUP(T56,$AA$2:$AC$68,3,FALSE)</f>
        <v>0</v>
      </c>
      <c r="W56" s="63">
        <v>4</v>
      </c>
      <c r="AA56" s="61">
        <v>54</v>
      </c>
    </row>
    <row r="57" spans="1:27" ht="12" customHeight="1">
      <c r="A57" s="63">
        <v>55</v>
      </c>
      <c r="B57" s="63">
        <v>11</v>
      </c>
      <c r="C57" s="63">
        <v>2</v>
      </c>
      <c r="D57" s="63">
        <v>8</v>
      </c>
      <c r="E57" s="63">
        <v>5</v>
      </c>
      <c r="G57" s="63">
        <v>55</v>
      </c>
      <c r="H57" s="63">
        <v>11</v>
      </c>
      <c r="I57" s="63">
        <v>3</v>
      </c>
      <c r="J57" s="63">
        <v>4</v>
      </c>
      <c r="K57" s="63">
        <v>5</v>
      </c>
      <c r="M57" s="63">
        <v>55</v>
      </c>
      <c r="N57" s="63">
        <v>11</v>
      </c>
      <c r="O57" s="63">
        <v>1</v>
      </c>
      <c r="P57" s="63">
        <v>9</v>
      </c>
      <c r="Q57" s="63">
        <v>5</v>
      </c>
      <c r="S57" s="63">
        <v>55</v>
      </c>
      <c r="T57" s="63">
        <f t="shared" si="1"/>
        <v>11</v>
      </c>
      <c r="U57" s="63">
        <f t="shared" si="0"/>
        <v>0</v>
      </c>
      <c r="V57" s="63">
        <f>VLOOKUP(T57,$AA$2:$AC$68,3,FALSE)</f>
        <v>0</v>
      </c>
      <c r="W57" s="63">
        <v>5</v>
      </c>
      <c r="AA57" s="61">
        <v>55</v>
      </c>
    </row>
    <row r="58" spans="1:27" ht="12" customHeight="1">
      <c r="A58" s="64">
        <v>56</v>
      </c>
      <c r="B58" s="64">
        <v>12</v>
      </c>
      <c r="C58" s="64">
        <v>3</v>
      </c>
      <c r="D58" s="64">
        <v>9</v>
      </c>
      <c r="E58" s="64">
        <v>1</v>
      </c>
      <c r="G58" s="64">
        <v>56</v>
      </c>
      <c r="H58" s="64">
        <v>12</v>
      </c>
      <c r="I58" s="64">
        <v>2</v>
      </c>
      <c r="J58" s="64">
        <v>5</v>
      </c>
      <c r="K58" s="64">
        <v>1</v>
      </c>
      <c r="M58" s="64">
        <v>56</v>
      </c>
      <c r="N58" s="64">
        <v>12</v>
      </c>
      <c r="O58" s="64">
        <v>4</v>
      </c>
      <c r="P58" s="64">
        <v>6</v>
      </c>
      <c r="Q58" s="64">
        <v>1</v>
      </c>
      <c r="S58" s="64">
        <v>56</v>
      </c>
      <c r="T58" s="64">
        <f t="shared" si="1"/>
        <v>12</v>
      </c>
      <c r="U58" s="64">
        <f t="shared" si="0"/>
        <v>0</v>
      </c>
      <c r="V58" s="64">
        <f>VLOOKUP(T58,$AA$3:$AC$68,3,FALSE)</f>
        <v>0</v>
      </c>
      <c r="W58" s="64">
        <v>1</v>
      </c>
      <c r="AA58" s="61">
        <v>56</v>
      </c>
    </row>
    <row r="59" spans="1:27" ht="12" customHeight="1">
      <c r="A59" s="64">
        <v>57</v>
      </c>
      <c r="B59" s="64">
        <v>12</v>
      </c>
      <c r="C59" s="64">
        <v>3</v>
      </c>
      <c r="D59" s="64">
        <v>9</v>
      </c>
      <c r="E59" s="64">
        <v>2</v>
      </c>
      <c r="G59" s="64">
        <v>57</v>
      </c>
      <c r="H59" s="64">
        <v>12</v>
      </c>
      <c r="I59" s="64">
        <v>2</v>
      </c>
      <c r="J59" s="64">
        <v>5</v>
      </c>
      <c r="K59" s="64">
        <v>2</v>
      </c>
      <c r="M59" s="64">
        <v>57</v>
      </c>
      <c r="N59" s="64">
        <v>12</v>
      </c>
      <c r="O59" s="64">
        <v>4</v>
      </c>
      <c r="P59" s="64">
        <v>6</v>
      </c>
      <c r="Q59" s="64">
        <v>2</v>
      </c>
      <c r="S59" s="64">
        <v>57</v>
      </c>
      <c r="T59" s="64">
        <f t="shared" si="1"/>
        <v>12</v>
      </c>
      <c r="U59" s="64">
        <f t="shared" si="0"/>
        <v>0</v>
      </c>
      <c r="V59" s="64">
        <f>VLOOKUP(T59,$AA$3:$AC$68,3,FALSE)</f>
        <v>0</v>
      </c>
      <c r="W59" s="64">
        <v>2</v>
      </c>
      <c r="AA59" s="61">
        <v>57</v>
      </c>
    </row>
    <row r="60" spans="1:27" ht="12" customHeight="1">
      <c r="A60" s="64">
        <v>58</v>
      </c>
      <c r="B60" s="64">
        <v>12</v>
      </c>
      <c r="C60" s="64">
        <v>3</v>
      </c>
      <c r="D60" s="64">
        <v>9</v>
      </c>
      <c r="E60" s="64">
        <v>3</v>
      </c>
      <c r="G60" s="64">
        <v>58</v>
      </c>
      <c r="H60" s="64">
        <v>12</v>
      </c>
      <c r="I60" s="64">
        <v>2</v>
      </c>
      <c r="J60" s="64">
        <v>5</v>
      </c>
      <c r="K60" s="64">
        <v>3</v>
      </c>
      <c r="M60" s="64">
        <v>58</v>
      </c>
      <c r="N60" s="64">
        <v>12</v>
      </c>
      <c r="O60" s="64">
        <v>4</v>
      </c>
      <c r="P60" s="64">
        <v>6</v>
      </c>
      <c r="Q60" s="64">
        <v>3</v>
      </c>
      <c r="S60" s="64">
        <v>58</v>
      </c>
      <c r="T60" s="64">
        <f t="shared" si="1"/>
        <v>12</v>
      </c>
      <c r="U60" s="64">
        <f t="shared" si="0"/>
        <v>0</v>
      </c>
      <c r="V60" s="64">
        <f>VLOOKUP(T60,$AA$3:$AC$68,3,FALSE)</f>
        <v>0</v>
      </c>
      <c r="W60" s="64">
        <v>3</v>
      </c>
      <c r="AA60" s="61">
        <v>58</v>
      </c>
    </row>
    <row r="61" spans="1:27" ht="12" customHeight="1">
      <c r="A61" s="64">
        <v>59</v>
      </c>
      <c r="B61" s="64">
        <v>12</v>
      </c>
      <c r="C61" s="64">
        <v>3</v>
      </c>
      <c r="D61" s="64">
        <v>9</v>
      </c>
      <c r="E61" s="64">
        <v>4</v>
      </c>
      <c r="G61" s="64">
        <v>59</v>
      </c>
      <c r="H61" s="64">
        <v>12</v>
      </c>
      <c r="I61" s="64">
        <v>2</v>
      </c>
      <c r="J61" s="64">
        <v>5</v>
      </c>
      <c r="K61" s="64">
        <v>4</v>
      </c>
      <c r="M61" s="64">
        <v>59</v>
      </c>
      <c r="N61" s="64">
        <v>12</v>
      </c>
      <c r="O61" s="64">
        <v>4</v>
      </c>
      <c r="P61" s="64">
        <v>6</v>
      </c>
      <c r="Q61" s="64">
        <v>4</v>
      </c>
      <c r="S61" s="64">
        <v>59</v>
      </c>
      <c r="T61" s="64">
        <f t="shared" si="1"/>
        <v>12</v>
      </c>
      <c r="U61" s="64">
        <f t="shared" si="0"/>
        <v>0</v>
      </c>
      <c r="V61" s="64">
        <f>VLOOKUP(T61,$AA$3:$AC$68,3,FALSE)</f>
        <v>0</v>
      </c>
      <c r="W61" s="64">
        <v>4</v>
      </c>
      <c r="AA61" s="61">
        <v>59</v>
      </c>
    </row>
    <row r="62" spans="1:27" ht="12" customHeight="1">
      <c r="A62" s="64">
        <v>60</v>
      </c>
      <c r="B62" s="64">
        <v>12</v>
      </c>
      <c r="C62" s="64">
        <v>3</v>
      </c>
      <c r="D62" s="64">
        <v>9</v>
      </c>
      <c r="E62" s="64">
        <v>5</v>
      </c>
      <c r="G62" s="64">
        <v>60</v>
      </c>
      <c r="H62" s="64">
        <v>12</v>
      </c>
      <c r="I62" s="64">
        <v>2</v>
      </c>
      <c r="J62" s="64">
        <v>5</v>
      </c>
      <c r="K62" s="64">
        <v>5</v>
      </c>
      <c r="M62" s="64">
        <v>60</v>
      </c>
      <c r="N62" s="64">
        <v>12</v>
      </c>
      <c r="O62" s="64">
        <v>4</v>
      </c>
      <c r="P62" s="64">
        <v>6</v>
      </c>
      <c r="Q62" s="64">
        <v>5</v>
      </c>
      <c r="S62" s="64">
        <v>60</v>
      </c>
      <c r="T62" s="64">
        <f t="shared" si="1"/>
        <v>12</v>
      </c>
      <c r="U62" s="64">
        <f t="shared" si="0"/>
        <v>0</v>
      </c>
      <c r="V62" s="64">
        <f>VLOOKUP(T62,$AA$3:$AC$68,3,FALSE)</f>
        <v>0</v>
      </c>
      <c r="W62" s="64">
        <v>5</v>
      </c>
      <c r="AA62" s="61">
        <v>60</v>
      </c>
    </row>
    <row r="63" spans="1:27" ht="12" customHeight="1">
      <c r="A63" s="63">
        <v>61</v>
      </c>
      <c r="B63" s="63">
        <v>13</v>
      </c>
      <c r="C63" s="63">
        <v>5</v>
      </c>
      <c r="D63" s="63">
        <v>7</v>
      </c>
      <c r="E63" s="63">
        <v>1</v>
      </c>
      <c r="G63" s="63">
        <v>61</v>
      </c>
      <c r="H63" s="63">
        <v>13</v>
      </c>
      <c r="I63" s="63">
        <v>10</v>
      </c>
      <c r="J63" s="63">
        <v>6</v>
      </c>
      <c r="K63" s="63">
        <v>1</v>
      </c>
      <c r="M63" s="63">
        <v>61</v>
      </c>
      <c r="N63" s="63">
        <v>13</v>
      </c>
      <c r="O63" s="63">
        <v>2</v>
      </c>
      <c r="P63" s="63">
        <v>8</v>
      </c>
      <c r="Q63" s="63">
        <v>1</v>
      </c>
      <c r="S63" s="63">
        <v>61</v>
      </c>
      <c r="T63" s="63">
        <f t="shared" si="1"/>
        <v>13</v>
      </c>
      <c r="U63" s="63">
        <f t="shared" si="0"/>
        <v>0</v>
      </c>
      <c r="V63" s="63">
        <f>VLOOKUP(T63,$AA$2:$AC$68,3,FALSE)</f>
        <v>0</v>
      </c>
      <c r="W63" s="63">
        <v>1</v>
      </c>
      <c r="AA63" s="61">
        <v>61</v>
      </c>
    </row>
    <row r="64" spans="1:27" ht="12" customHeight="1">
      <c r="A64" s="63">
        <v>62</v>
      </c>
      <c r="B64" s="63">
        <v>13</v>
      </c>
      <c r="C64" s="63">
        <v>5</v>
      </c>
      <c r="D64" s="63">
        <v>7</v>
      </c>
      <c r="E64" s="63">
        <v>2</v>
      </c>
      <c r="G64" s="63">
        <v>62</v>
      </c>
      <c r="H64" s="63">
        <v>13</v>
      </c>
      <c r="I64" s="63">
        <v>10</v>
      </c>
      <c r="J64" s="63">
        <v>6</v>
      </c>
      <c r="K64" s="63">
        <v>2</v>
      </c>
      <c r="M64" s="63">
        <v>62</v>
      </c>
      <c r="N64" s="63">
        <v>13</v>
      </c>
      <c r="O64" s="63">
        <v>2</v>
      </c>
      <c r="P64" s="63">
        <v>8</v>
      </c>
      <c r="Q64" s="63">
        <v>2</v>
      </c>
      <c r="S64" s="63">
        <v>62</v>
      </c>
      <c r="T64" s="63">
        <f t="shared" si="1"/>
        <v>13</v>
      </c>
      <c r="U64" s="63">
        <f t="shared" si="0"/>
        <v>0</v>
      </c>
      <c r="V64" s="63">
        <f>VLOOKUP(T64,$AA$2:$AC$68,3,FALSE)</f>
        <v>0</v>
      </c>
      <c r="W64" s="63">
        <v>2</v>
      </c>
      <c r="AA64" s="61">
        <v>62</v>
      </c>
    </row>
    <row r="65" spans="1:27" ht="12" customHeight="1">
      <c r="A65" s="63">
        <v>63</v>
      </c>
      <c r="B65" s="63">
        <v>13</v>
      </c>
      <c r="C65" s="63">
        <v>5</v>
      </c>
      <c r="D65" s="63">
        <v>7</v>
      </c>
      <c r="E65" s="63">
        <v>3</v>
      </c>
      <c r="G65" s="63">
        <v>63</v>
      </c>
      <c r="H65" s="63">
        <v>13</v>
      </c>
      <c r="I65" s="63">
        <v>10</v>
      </c>
      <c r="J65" s="63">
        <v>6</v>
      </c>
      <c r="K65" s="63">
        <v>3</v>
      </c>
      <c r="M65" s="63">
        <v>63</v>
      </c>
      <c r="N65" s="63">
        <v>13</v>
      </c>
      <c r="O65" s="63">
        <v>2</v>
      </c>
      <c r="P65" s="63">
        <v>8</v>
      </c>
      <c r="Q65" s="63">
        <v>3</v>
      </c>
      <c r="S65" s="63">
        <v>63</v>
      </c>
      <c r="T65" s="63">
        <f t="shared" si="1"/>
        <v>13</v>
      </c>
      <c r="U65" s="63">
        <f t="shared" si="0"/>
        <v>0</v>
      </c>
      <c r="V65" s="63">
        <f>VLOOKUP(T65,$AA$2:$AC$68,3,FALSE)</f>
        <v>0</v>
      </c>
      <c r="W65" s="63">
        <v>3</v>
      </c>
      <c r="AA65" s="61">
        <v>63</v>
      </c>
    </row>
    <row r="66" spans="1:27" ht="12" customHeight="1">
      <c r="A66" s="63">
        <v>64</v>
      </c>
      <c r="B66" s="63">
        <v>13</v>
      </c>
      <c r="C66" s="63">
        <v>5</v>
      </c>
      <c r="D66" s="63">
        <v>7</v>
      </c>
      <c r="E66" s="63">
        <v>4</v>
      </c>
      <c r="G66" s="63">
        <v>64</v>
      </c>
      <c r="H66" s="63">
        <v>13</v>
      </c>
      <c r="I66" s="63">
        <v>10</v>
      </c>
      <c r="J66" s="63">
        <v>6</v>
      </c>
      <c r="K66" s="63">
        <v>4</v>
      </c>
      <c r="M66" s="63">
        <v>64</v>
      </c>
      <c r="N66" s="63">
        <v>13</v>
      </c>
      <c r="O66" s="63">
        <v>2</v>
      </c>
      <c r="P66" s="63">
        <v>8</v>
      </c>
      <c r="Q66" s="63">
        <v>4</v>
      </c>
      <c r="S66" s="63">
        <v>64</v>
      </c>
      <c r="T66" s="63">
        <f t="shared" si="1"/>
        <v>13</v>
      </c>
      <c r="U66" s="63">
        <f t="shared" si="0"/>
        <v>0</v>
      </c>
      <c r="V66" s="63">
        <f>VLOOKUP(T66,$AA$2:$AC$68,3,FALSE)</f>
        <v>0</v>
      </c>
      <c r="W66" s="63">
        <v>4</v>
      </c>
      <c r="AA66" s="61">
        <v>64</v>
      </c>
    </row>
    <row r="67" spans="1:27" ht="12" customHeight="1">
      <c r="A67" s="63">
        <v>65</v>
      </c>
      <c r="B67" s="63">
        <v>13</v>
      </c>
      <c r="C67" s="63">
        <v>5</v>
      </c>
      <c r="D67" s="63">
        <v>7</v>
      </c>
      <c r="E67" s="63">
        <v>5</v>
      </c>
      <c r="G67" s="63">
        <v>65</v>
      </c>
      <c r="H67" s="63">
        <v>13</v>
      </c>
      <c r="I67" s="63">
        <v>10</v>
      </c>
      <c r="J67" s="63">
        <v>6</v>
      </c>
      <c r="K67" s="63">
        <v>5</v>
      </c>
      <c r="M67" s="63">
        <v>65</v>
      </c>
      <c r="N67" s="63">
        <v>13</v>
      </c>
      <c r="O67" s="63">
        <v>2</v>
      </c>
      <c r="P67" s="63">
        <v>8</v>
      </c>
      <c r="Q67" s="63">
        <v>5</v>
      </c>
      <c r="S67" s="63">
        <v>65</v>
      </c>
      <c r="T67" s="63">
        <f t="shared" si="1"/>
        <v>13</v>
      </c>
      <c r="U67" s="63">
        <f aca="true" t="shared" si="2" ref="U67:U130">VLOOKUP(T67,$AA$3:$AC$68,2,FALSE)</f>
        <v>0</v>
      </c>
      <c r="V67" s="63">
        <f>VLOOKUP(T67,$AA$2:$AC$68,3,FALSE)</f>
        <v>0</v>
      </c>
      <c r="W67" s="63">
        <v>5</v>
      </c>
      <c r="AA67" s="61">
        <v>65</v>
      </c>
    </row>
    <row r="68" spans="1:27" ht="12" customHeight="1">
      <c r="A68" s="64">
        <v>66</v>
      </c>
      <c r="B68" s="64">
        <v>14</v>
      </c>
      <c r="C68" s="64">
        <v>6</v>
      </c>
      <c r="D68" s="64">
        <v>1</v>
      </c>
      <c r="E68" s="64">
        <v>1</v>
      </c>
      <c r="G68" s="64">
        <v>66</v>
      </c>
      <c r="H68" s="64">
        <v>14</v>
      </c>
      <c r="I68" s="64">
        <v>9</v>
      </c>
      <c r="J68" s="64">
        <v>7</v>
      </c>
      <c r="K68" s="64">
        <v>1</v>
      </c>
      <c r="M68" s="64">
        <v>66</v>
      </c>
      <c r="N68" s="64">
        <v>14</v>
      </c>
      <c r="O68" s="64">
        <v>3</v>
      </c>
      <c r="P68" s="64">
        <v>10</v>
      </c>
      <c r="Q68" s="64">
        <v>1</v>
      </c>
      <c r="S68" s="64">
        <v>66</v>
      </c>
      <c r="T68" s="64">
        <f t="shared" si="1"/>
        <v>14</v>
      </c>
      <c r="U68" s="64">
        <f t="shared" si="2"/>
        <v>0</v>
      </c>
      <c r="V68" s="64">
        <f>VLOOKUP(T68,$AA$3:$AC$68,3,FALSE)</f>
        <v>0</v>
      </c>
      <c r="W68" s="64">
        <v>1</v>
      </c>
      <c r="AA68" s="61">
        <v>66</v>
      </c>
    </row>
    <row r="69" spans="1:23" ht="12" customHeight="1">
      <c r="A69" s="64">
        <v>67</v>
      </c>
      <c r="B69" s="64">
        <v>14</v>
      </c>
      <c r="C69" s="64">
        <v>6</v>
      </c>
      <c r="D69" s="64">
        <v>1</v>
      </c>
      <c r="E69" s="64">
        <v>2</v>
      </c>
      <c r="G69" s="64">
        <v>67</v>
      </c>
      <c r="H69" s="64">
        <v>14</v>
      </c>
      <c r="I69" s="64">
        <v>9</v>
      </c>
      <c r="J69" s="64">
        <v>7</v>
      </c>
      <c r="K69" s="64">
        <v>2</v>
      </c>
      <c r="M69" s="64">
        <v>67</v>
      </c>
      <c r="N69" s="64">
        <v>14</v>
      </c>
      <c r="O69" s="64">
        <v>3</v>
      </c>
      <c r="P69" s="64">
        <v>10</v>
      </c>
      <c r="Q69" s="64">
        <v>2</v>
      </c>
      <c r="S69" s="64">
        <v>67</v>
      </c>
      <c r="T69" s="64">
        <f t="shared" si="1"/>
        <v>14</v>
      </c>
      <c r="U69" s="64">
        <f t="shared" si="2"/>
        <v>0</v>
      </c>
      <c r="V69" s="64">
        <f>VLOOKUP(T69,$AA$3:$AC$68,3,FALSE)</f>
        <v>0</v>
      </c>
      <c r="W69" s="64">
        <v>2</v>
      </c>
    </row>
    <row r="70" spans="1:23" ht="12" customHeight="1">
      <c r="A70" s="64">
        <v>68</v>
      </c>
      <c r="B70" s="64">
        <v>14</v>
      </c>
      <c r="C70" s="64">
        <v>6</v>
      </c>
      <c r="D70" s="64">
        <v>1</v>
      </c>
      <c r="E70" s="64">
        <v>3</v>
      </c>
      <c r="G70" s="64">
        <v>68</v>
      </c>
      <c r="H70" s="64">
        <v>14</v>
      </c>
      <c r="I70" s="64">
        <v>9</v>
      </c>
      <c r="J70" s="64">
        <v>7</v>
      </c>
      <c r="K70" s="64">
        <v>3</v>
      </c>
      <c r="M70" s="64">
        <v>68</v>
      </c>
      <c r="N70" s="64">
        <v>14</v>
      </c>
      <c r="O70" s="64">
        <v>3</v>
      </c>
      <c r="P70" s="64">
        <v>10</v>
      </c>
      <c r="Q70" s="64">
        <v>3</v>
      </c>
      <c r="S70" s="64">
        <v>68</v>
      </c>
      <c r="T70" s="64">
        <f t="shared" si="1"/>
        <v>14</v>
      </c>
      <c r="U70" s="64">
        <f t="shared" si="2"/>
        <v>0</v>
      </c>
      <c r="V70" s="64">
        <f>VLOOKUP(T70,$AA$3:$AC$68,3,FALSE)</f>
        <v>0</v>
      </c>
      <c r="W70" s="64">
        <v>3</v>
      </c>
    </row>
    <row r="71" spans="1:23" ht="12" customHeight="1">
      <c r="A71" s="64">
        <v>69</v>
      </c>
      <c r="B71" s="64">
        <v>14</v>
      </c>
      <c r="C71" s="64">
        <v>6</v>
      </c>
      <c r="D71" s="64">
        <v>1</v>
      </c>
      <c r="E71" s="64">
        <v>4</v>
      </c>
      <c r="G71" s="64">
        <v>69</v>
      </c>
      <c r="H71" s="64">
        <v>14</v>
      </c>
      <c r="I71" s="64">
        <v>9</v>
      </c>
      <c r="J71" s="64">
        <v>7</v>
      </c>
      <c r="K71" s="64">
        <v>4</v>
      </c>
      <c r="M71" s="64">
        <v>69</v>
      </c>
      <c r="N71" s="64">
        <v>14</v>
      </c>
      <c r="O71" s="64">
        <v>3</v>
      </c>
      <c r="P71" s="64">
        <v>10</v>
      </c>
      <c r="Q71" s="64">
        <v>4</v>
      </c>
      <c r="S71" s="64">
        <v>69</v>
      </c>
      <c r="T71" s="64">
        <f t="shared" si="1"/>
        <v>14</v>
      </c>
      <c r="U71" s="64">
        <f t="shared" si="2"/>
        <v>0</v>
      </c>
      <c r="V71" s="64">
        <f>VLOOKUP(T71,$AA$3:$AC$68,3,FALSE)</f>
        <v>0</v>
      </c>
      <c r="W71" s="64">
        <v>4</v>
      </c>
    </row>
    <row r="72" spans="1:23" ht="12" customHeight="1">
      <c r="A72" s="64">
        <v>70</v>
      </c>
      <c r="B72" s="64">
        <v>14</v>
      </c>
      <c r="C72" s="64">
        <v>6</v>
      </c>
      <c r="D72" s="64">
        <v>1</v>
      </c>
      <c r="E72" s="64">
        <v>5</v>
      </c>
      <c r="G72" s="64">
        <v>70</v>
      </c>
      <c r="H72" s="64">
        <v>14</v>
      </c>
      <c r="I72" s="64">
        <v>9</v>
      </c>
      <c r="J72" s="64">
        <v>7</v>
      </c>
      <c r="K72" s="64">
        <v>5</v>
      </c>
      <c r="M72" s="64">
        <v>70</v>
      </c>
      <c r="N72" s="64">
        <v>14</v>
      </c>
      <c r="O72" s="64">
        <v>3</v>
      </c>
      <c r="P72" s="64">
        <v>10</v>
      </c>
      <c r="Q72" s="64">
        <v>5</v>
      </c>
      <c r="S72" s="64">
        <v>70</v>
      </c>
      <c r="T72" s="64">
        <f aca="true" t="shared" si="3" ref="T72:T135">T67+1</f>
        <v>14</v>
      </c>
      <c r="U72" s="64">
        <f t="shared" si="2"/>
        <v>0</v>
      </c>
      <c r="V72" s="64">
        <f>VLOOKUP(T72,$AA$3:$AC$68,3,FALSE)</f>
        <v>0</v>
      </c>
      <c r="W72" s="64">
        <v>5</v>
      </c>
    </row>
    <row r="73" spans="1:23" ht="12" customHeight="1">
      <c r="A73" s="63">
        <v>71</v>
      </c>
      <c r="B73" s="63">
        <v>15</v>
      </c>
      <c r="C73" s="63">
        <v>4</v>
      </c>
      <c r="D73" s="63">
        <v>8</v>
      </c>
      <c r="E73" s="63">
        <v>1</v>
      </c>
      <c r="G73" s="63">
        <v>71</v>
      </c>
      <c r="H73" s="63">
        <v>15</v>
      </c>
      <c r="I73" s="63">
        <v>1</v>
      </c>
      <c r="J73" s="63">
        <v>8</v>
      </c>
      <c r="K73" s="63">
        <v>1</v>
      </c>
      <c r="M73" s="63">
        <v>71</v>
      </c>
      <c r="N73" s="63">
        <v>15</v>
      </c>
      <c r="O73" s="63">
        <v>5</v>
      </c>
      <c r="P73" s="63">
        <v>11</v>
      </c>
      <c r="Q73" s="63">
        <v>1</v>
      </c>
      <c r="S73" s="63">
        <v>71</v>
      </c>
      <c r="T73" s="63">
        <f t="shared" si="3"/>
        <v>15</v>
      </c>
      <c r="U73" s="63">
        <f t="shared" si="2"/>
        <v>0</v>
      </c>
      <c r="V73" s="63">
        <f>VLOOKUP(T73,$AA$2:$AC$68,3,FALSE)</f>
        <v>0</v>
      </c>
      <c r="W73" s="63">
        <v>1</v>
      </c>
    </row>
    <row r="74" spans="1:23" ht="12" customHeight="1">
      <c r="A74" s="63">
        <v>72</v>
      </c>
      <c r="B74" s="63">
        <v>15</v>
      </c>
      <c r="C74" s="63">
        <v>4</v>
      </c>
      <c r="D74" s="63">
        <v>8</v>
      </c>
      <c r="E74" s="63">
        <v>2</v>
      </c>
      <c r="G74" s="63">
        <v>72</v>
      </c>
      <c r="H74" s="63">
        <v>15</v>
      </c>
      <c r="I74" s="63">
        <v>1</v>
      </c>
      <c r="J74" s="63">
        <v>8</v>
      </c>
      <c r="K74" s="63">
        <v>2</v>
      </c>
      <c r="M74" s="63">
        <v>72</v>
      </c>
      <c r="N74" s="63">
        <v>15</v>
      </c>
      <c r="O74" s="63">
        <v>5</v>
      </c>
      <c r="P74" s="63">
        <v>11</v>
      </c>
      <c r="Q74" s="63">
        <v>2</v>
      </c>
      <c r="S74" s="63">
        <v>72</v>
      </c>
      <c r="T74" s="63">
        <f t="shared" si="3"/>
        <v>15</v>
      </c>
      <c r="U74" s="63">
        <f t="shared" si="2"/>
        <v>0</v>
      </c>
      <c r="V74" s="63">
        <f>VLOOKUP(T74,$AA$2:$AC$68,3,FALSE)</f>
        <v>0</v>
      </c>
      <c r="W74" s="63">
        <v>2</v>
      </c>
    </row>
    <row r="75" spans="1:23" ht="12" customHeight="1">
      <c r="A75" s="63">
        <v>73</v>
      </c>
      <c r="B75" s="63">
        <v>15</v>
      </c>
      <c r="C75" s="63">
        <v>4</v>
      </c>
      <c r="D75" s="63">
        <v>8</v>
      </c>
      <c r="E75" s="63">
        <v>3</v>
      </c>
      <c r="G75" s="63">
        <v>73</v>
      </c>
      <c r="H75" s="63">
        <v>15</v>
      </c>
      <c r="I75" s="63">
        <v>1</v>
      </c>
      <c r="J75" s="63">
        <v>8</v>
      </c>
      <c r="K75" s="63">
        <v>3</v>
      </c>
      <c r="M75" s="63">
        <v>73</v>
      </c>
      <c r="N75" s="63">
        <v>15</v>
      </c>
      <c r="O75" s="63">
        <v>5</v>
      </c>
      <c r="P75" s="63">
        <v>11</v>
      </c>
      <c r="Q75" s="63">
        <v>3</v>
      </c>
      <c r="S75" s="63">
        <v>73</v>
      </c>
      <c r="T75" s="63">
        <f t="shared" si="3"/>
        <v>15</v>
      </c>
      <c r="U75" s="63">
        <f t="shared" si="2"/>
        <v>0</v>
      </c>
      <c r="V75" s="63">
        <f>VLOOKUP(T75,$AA$2:$AC$68,3,FALSE)</f>
        <v>0</v>
      </c>
      <c r="W75" s="63">
        <v>3</v>
      </c>
    </row>
    <row r="76" spans="1:23" ht="12" customHeight="1">
      <c r="A76" s="63">
        <v>74</v>
      </c>
      <c r="B76" s="63">
        <v>15</v>
      </c>
      <c r="C76" s="63">
        <v>4</v>
      </c>
      <c r="D76" s="63">
        <v>8</v>
      </c>
      <c r="E76" s="63">
        <v>4</v>
      </c>
      <c r="G76" s="63">
        <v>74</v>
      </c>
      <c r="H76" s="63">
        <v>15</v>
      </c>
      <c r="I76" s="63">
        <v>1</v>
      </c>
      <c r="J76" s="63">
        <v>8</v>
      </c>
      <c r="K76" s="63">
        <v>4</v>
      </c>
      <c r="M76" s="63">
        <v>74</v>
      </c>
      <c r="N76" s="63">
        <v>15</v>
      </c>
      <c r="O76" s="63">
        <v>5</v>
      </c>
      <c r="P76" s="63">
        <v>11</v>
      </c>
      <c r="Q76" s="63">
        <v>4</v>
      </c>
      <c r="S76" s="63">
        <v>74</v>
      </c>
      <c r="T76" s="63">
        <f t="shared" si="3"/>
        <v>15</v>
      </c>
      <c r="U76" s="63">
        <f t="shared" si="2"/>
        <v>0</v>
      </c>
      <c r="V76" s="63">
        <f>VLOOKUP(T76,$AA$2:$AC$68,3,FALSE)</f>
        <v>0</v>
      </c>
      <c r="W76" s="63">
        <v>4</v>
      </c>
    </row>
    <row r="77" spans="1:23" ht="12" customHeight="1">
      <c r="A77" s="63">
        <v>75</v>
      </c>
      <c r="B77" s="63">
        <v>15</v>
      </c>
      <c r="C77" s="63">
        <v>4</v>
      </c>
      <c r="D77" s="63">
        <v>8</v>
      </c>
      <c r="E77" s="63">
        <v>5</v>
      </c>
      <c r="G77" s="63">
        <v>75</v>
      </c>
      <c r="H77" s="63">
        <v>15</v>
      </c>
      <c r="I77" s="63">
        <v>1</v>
      </c>
      <c r="J77" s="63">
        <v>8</v>
      </c>
      <c r="K77" s="63">
        <v>5</v>
      </c>
      <c r="M77" s="63">
        <v>75</v>
      </c>
      <c r="N77" s="63">
        <v>15</v>
      </c>
      <c r="O77" s="63">
        <v>5</v>
      </c>
      <c r="P77" s="63">
        <v>11</v>
      </c>
      <c r="Q77" s="63">
        <v>5</v>
      </c>
      <c r="S77" s="63">
        <v>75</v>
      </c>
      <c r="T77" s="63">
        <f t="shared" si="3"/>
        <v>15</v>
      </c>
      <c r="U77" s="63">
        <f t="shared" si="2"/>
        <v>0</v>
      </c>
      <c r="V77" s="63">
        <f>VLOOKUP(T77,$AA$2:$AC$68,3,FALSE)</f>
        <v>0</v>
      </c>
      <c r="W77" s="63">
        <v>5</v>
      </c>
    </row>
    <row r="78" spans="1:23" ht="12" customHeight="1">
      <c r="A78" s="64">
        <v>76</v>
      </c>
      <c r="B78" s="64">
        <v>16</v>
      </c>
      <c r="C78" s="64">
        <v>2</v>
      </c>
      <c r="D78" s="64">
        <v>9</v>
      </c>
      <c r="E78" s="64">
        <v>1</v>
      </c>
      <c r="G78" s="64">
        <v>76</v>
      </c>
      <c r="H78" s="64">
        <v>16</v>
      </c>
      <c r="I78" s="64">
        <v>2</v>
      </c>
      <c r="J78" s="64">
        <v>3</v>
      </c>
      <c r="K78" s="64">
        <v>1</v>
      </c>
      <c r="M78" s="64">
        <v>76</v>
      </c>
      <c r="N78" s="64">
        <v>16</v>
      </c>
      <c r="O78" s="64">
        <v>7</v>
      </c>
      <c r="P78" s="64">
        <v>9</v>
      </c>
      <c r="Q78" s="64">
        <v>1</v>
      </c>
      <c r="S78" s="64">
        <v>76</v>
      </c>
      <c r="T78" s="64">
        <f t="shared" si="3"/>
        <v>16</v>
      </c>
      <c r="U78" s="64">
        <f t="shared" si="2"/>
        <v>0</v>
      </c>
      <c r="V78" s="64">
        <f>VLOOKUP(T78,$AA$3:$AC$68,3,FALSE)</f>
        <v>0</v>
      </c>
      <c r="W78" s="64">
        <v>1</v>
      </c>
    </row>
    <row r="79" spans="1:23" ht="12" customHeight="1">
      <c r="A79" s="64">
        <v>77</v>
      </c>
      <c r="B79" s="64">
        <v>16</v>
      </c>
      <c r="C79" s="64">
        <v>2</v>
      </c>
      <c r="D79" s="64">
        <v>9</v>
      </c>
      <c r="E79" s="64">
        <v>2</v>
      </c>
      <c r="G79" s="64">
        <v>77</v>
      </c>
      <c r="H79" s="64">
        <v>16</v>
      </c>
      <c r="I79" s="64">
        <v>2</v>
      </c>
      <c r="J79" s="64">
        <v>3</v>
      </c>
      <c r="K79" s="64">
        <v>2</v>
      </c>
      <c r="M79" s="64">
        <v>77</v>
      </c>
      <c r="N79" s="64">
        <v>16</v>
      </c>
      <c r="O79" s="64">
        <v>7</v>
      </c>
      <c r="P79" s="64">
        <v>9</v>
      </c>
      <c r="Q79" s="64">
        <v>2</v>
      </c>
      <c r="S79" s="64">
        <v>77</v>
      </c>
      <c r="T79" s="64">
        <f t="shared" si="3"/>
        <v>16</v>
      </c>
      <c r="U79" s="64">
        <f t="shared" si="2"/>
        <v>0</v>
      </c>
      <c r="V79" s="64">
        <f>VLOOKUP(T79,$AA$3:$AC$68,3,FALSE)</f>
        <v>0</v>
      </c>
      <c r="W79" s="64">
        <v>2</v>
      </c>
    </row>
    <row r="80" spans="1:23" ht="12" customHeight="1">
      <c r="A80" s="64">
        <v>78</v>
      </c>
      <c r="B80" s="64">
        <v>16</v>
      </c>
      <c r="C80" s="64">
        <v>2</v>
      </c>
      <c r="D80" s="64">
        <v>9</v>
      </c>
      <c r="E80" s="64">
        <v>3</v>
      </c>
      <c r="G80" s="64">
        <v>78</v>
      </c>
      <c r="H80" s="64">
        <v>16</v>
      </c>
      <c r="I80" s="64">
        <v>2</v>
      </c>
      <c r="J80" s="64">
        <v>3</v>
      </c>
      <c r="K80" s="64">
        <v>3</v>
      </c>
      <c r="M80" s="64">
        <v>78</v>
      </c>
      <c r="N80" s="64">
        <v>16</v>
      </c>
      <c r="O80" s="64">
        <v>7</v>
      </c>
      <c r="P80" s="64">
        <v>9</v>
      </c>
      <c r="Q80" s="64">
        <v>3</v>
      </c>
      <c r="S80" s="64">
        <v>78</v>
      </c>
      <c r="T80" s="64">
        <f t="shared" si="3"/>
        <v>16</v>
      </c>
      <c r="U80" s="64">
        <f t="shared" si="2"/>
        <v>0</v>
      </c>
      <c r="V80" s="64">
        <f>VLOOKUP(T80,$AA$3:$AC$68,3,FALSE)</f>
        <v>0</v>
      </c>
      <c r="W80" s="64">
        <v>3</v>
      </c>
    </row>
    <row r="81" spans="1:23" ht="12" customHeight="1">
      <c r="A81" s="64">
        <v>79</v>
      </c>
      <c r="B81" s="64">
        <v>16</v>
      </c>
      <c r="C81" s="64">
        <v>2</v>
      </c>
      <c r="D81" s="64">
        <v>9</v>
      </c>
      <c r="E81" s="64">
        <v>4</v>
      </c>
      <c r="G81" s="64">
        <v>79</v>
      </c>
      <c r="H81" s="64">
        <v>16</v>
      </c>
      <c r="I81" s="64">
        <v>2</v>
      </c>
      <c r="J81" s="64">
        <v>3</v>
      </c>
      <c r="K81" s="64">
        <v>4</v>
      </c>
      <c r="M81" s="64">
        <v>79</v>
      </c>
      <c r="N81" s="64">
        <v>16</v>
      </c>
      <c r="O81" s="64">
        <v>7</v>
      </c>
      <c r="P81" s="64">
        <v>9</v>
      </c>
      <c r="Q81" s="64">
        <v>4</v>
      </c>
      <c r="S81" s="64">
        <v>79</v>
      </c>
      <c r="T81" s="64">
        <f t="shared" si="3"/>
        <v>16</v>
      </c>
      <c r="U81" s="64">
        <f t="shared" si="2"/>
        <v>0</v>
      </c>
      <c r="V81" s="64">
        <f>VLOOKUP(T81,$AA$3:$AC$68,3,FALSE)</f>
        <v>0</v>
      </c>
      <c r="W81" s="64">
        <v>4</v>
      </c>
    </row>
    <row r="82" spans="1:23" ht="12" customHeight="1">
      <c r="A82" s="64">
        <v>80</v>
      </c>
      <c r="B82" s="64">
        <v>16</v>
      </c>
      <c r="C82" s="64">
        <v>2</v>
      </c>
      <c r="D82" s="64">
        <v>9</v>
      </c>
      <c r="E82" s="64">
        <v>5</v>
      </c>
      <c r="G82" s="64">
        <v>80</v>
      </c>
      <c r="H82" s="64">
        <v>16</v>
      </c>
      <c r="I82" s="64">
        <v>2</v>
      </c>
      <c r="J82" s="64">
        <v>3</v>
      </c>
      <c r="K82" s="64">
        <v>5</v>
      </c>
      <c r="M82" s="64">
        <v>80</v>
      </c>
      <c r="N82" s="64">
        <v>16</v>
      </c>
      <c r="O82" s="64">
        <v>7</v>
      </c>
      <c r="P82" s="64">
        <v>9</v>
      </c>
      <c r="Q82" s="64">
        <v>5</v>
      </c>
      <c r="S82" s="64">
        <v>80</v>
      </c>
      <c r="T82" s="64">
        <f t="shared" si="3"/>
        <v>16</v>
      </c>
      <c r="U82" s="64">
        <f t="shared" si="2"/>
        <v>0</v>
      </c>
      <c r="V82" s="64">
        <f>VLOOKUP(T82,$AA$3:$AC$68,3,FALSE)</f>
        <v>0</v>
      </c>
      <c r="W82" s="64">
        <v>5</v>
      </c>
    </row>
    <row r="83" spans="1:23" ht="12" customHeight="1">
      <c r="A83" s="63">
        <v>81</v>
      </c>
      <c r="B83" s="63">
        <v>17</v>
      </c>
      <c r="C83" s="63">
        <v>3</v>
      </c>
      <c r="D83" s="63">
        <v>7</v>
      </c>
      <c r="E83" s="63">
        <v>1</v>
      </c>
      <c r="G83" s="63">
        <v>81</v>
      </c>
      <c r="H83" s="63">
        <v>17</v>
      </c>
      <c r="I83" s="63">
        <v>10</v>
      </c>
      <c r="J83" s="63">
        <v>4</v>
      </c>
      <c r="K83" s="63">
        <v>1</v>
      </c>
      <c r="M83" s="63">
        <v>81</v>
      </c>
      <c r="N83" s="63">
        <v>17</v>
      </c>
      <c r="O83" s="63">
        <v>6</v>
      </c>
      <c r="P83" s="63">
        <v>1</v>
      </c>
      <c r="Q83" s="63">
        <v>1</v>
      </c>
      <c r="S83" s="63">
        <v>81</v>
      </c>
      <c r="T83" s="63">
        <f t="shared" si="3"/>
        <v>17</v>
      </c>
      <c r="U83" s="63">
        <f t="shared" si="2"/>
        <v>0</v>
      </c>
      <c r="V83" s="63">
        <f>VLOOKUP(T83,$AA$2:$AC$68,3,FALSE)</f>
        <v>0</v>
      </c>
      <c r="W83" s="63">
        <v>1</v>
      </c>
    </row>
    <row r="84" spans="1:23" ht="12" customHeight="1">
      <c r="A84" s="63">
        <v>82</v>
      </c>
      <c r="B84" s="63">
        <v>17</v>
      </c>
      <c r="C84" s="63">
        <v>3</v>
      </c>
      <c r="D84" s="63">
        <v>7</v>
      </c>
      <c r="E84" s="63">
        <v>2</v>
      </c>
      <c r="G84" s="63">
        <v>82</v>
      </c>
      <c r="H84" s="63">
        <v>17</v>
      </c>
      <c r="I84" s="63">
        <v>10</v>
      </c>
      <c r="J84" s="63">
        <v>4</v>
      </c>
      <c r="K84" s="63">
        <v>2</v>
      </c>
      <c r="M84" s="63">
        <v>82</v>
      </c>
      <c r="N84" s="63">
        <v>17</v>
      </c>
      <c r="O84" s="63">
        <v>6</v>
      </c>
      <c r="P84" s="63">
        <v>1</v>
      </c>
      <c r="Q84" s="63">
        <v>2</v>
      </c>
      <c r="S84" s="63">
        <v>82</v>
      </c>
      <c r="T84" s="63">
        <f t="shared" si="3"/>
        <v>17</v>
      </c>
      <c r="U84" s="63">
        <f t="shared" si="2"/>
        <v>0</v>
      </c>
      <c r="V84" s="63">
        <f>VLOOKUP(T84,$AA$2:$AC$68,3,FALSE)</f>
        <v>0</v>
      </c>
      <c r="W84" s="63">
        <v>2</v>
      </c>
    </row>
    <row r="85" spans="1:23" ht="12" customHeight="1">
      <c r="A85" s="63">
        <v>83</v>
      </c>
      <c r="B85" s="63">
        <v>17</v>
      </c>
      <c r="C85" s="63">
        <v>3</v>
      </c>
      <c r="D85" s="63">
        <v>7</v>
      </c>
      <c r="E85" s="63">
        <v>3</v>
      </c>
      <c r="G85" s="63">
        <v>83</v>
      </c>
      <c r="H85" s="63">
        <v>17</v>
      </c>
      <c r="I85" s="63">
        <v>10</v>
      </c>
      <c r="J85" s="63">
        <v>4</v>
      </c>
      <c r="K85" s="63">
        <v>3</v>
      </c>
      <c r="M85" s="63">
        <v>83</v>
      </c>
      <c r="N85" s="63">
        <v>17</v>
      </c>
      <c r="O85" s="63">
        <v>6</v>
      </c>
      <c r="P85" s="63">
        <v>1</v>
      </c>
      <c r="Q85" s="63">
        <v>3</v>
      </c>
      <c r="S85" s="63">
        <v>83</v>
      </c>
      <c r="T85" s="63">
        <f t="shared" si="3"/>
        <v>17</v>
      </c>
      <c r="U85" s="63">
        <f t="shared" si="2"/>
        <v>0</v>
      </c>
      <c r="V85" s="63">
        <f>VLOOKUP(T85,$AA$2:$AC$68,3,FALSE)</f>
        <v>0</v>
      </c>
      <c r="W85" s="63">
        <v>3</v>
      </c>
    </row>
    <row r="86" spans="1:23" ht="12" customHeight="1">
      <c r="A86" s="63">
        <v>84</v>
      </c>
      <c r="B86" s="63">
        <v>17</v>
      </c>
      <c r="C86" s="63">
        <v>3</v>
      </c>
      <c r="D86" s="63">
        <v>7</v>
      </c>
      <c r="E86" s="63">
        <v>4</v>
      </c>
      <c r="G86" s="63">
        <v>84</v>
      </c>
      <c r="H86" s="63">
        <v>17</v>
      </c>
      <c r="I86" s="63">
        <v>10</v>
      </c>
      <c r="J86" s="63">
        <v>4</v>
      </c>
      <c r="K86" s="63">
        <v>4</v>
      </c>
      <c r="M86" s="63">
        <v>84</v>
      </c>
      <c r="N86" s="63">
        <v>17</v>
      </c>
      <c r="O86" s="63">
        <v>6</v>
      </c>
      <c r="P86" s="63">
        <v>1</v>
      </c>
      <c r="Q86" s="63">
        <v>4</v>
      </c>
      <c r="S86" s="63">
        <v>84</v>
      </c>
      <c r="T86" s="63">
        <f t="shared" si="3"/>
        <v>17</v>
      </c>
      <c r="U86" s="63">
        <f t="shared" si="2"/>
        <v>0</v>
      </c>
      <c r="V86" s="63">
        <f>VLOOKUP(T86,$AA$2:$AC$68,3,FALSE)</f>
        <v>0</v>
      </c>
      <c r="W86" s="63">
        <v>4</v>
      </c>
    </row>
    <row r="87" spans="1:23" ht="12" customHeight="1">
      <c r="A87" s="63">
        <v>85</v>
      </c>
      <c r="B87" s="63">
        <v>17</v>
      </c>
      <c r="C87" s="63">
        <v>3</v>
      </c>
      <c r="D87" s="63">
        <v>7</v>
      </c>
      <c r="E87" s="63">
        <v>5</v>
      </c>
      <c r="G87" s="63">
        <v>85</v>
      </c>
      <c r="H87" s="63">
        <v>17</v>
      </c>
      <c r="I87" s="63">
        <v>10</v>
      </c>
      <c r="J87" s="63">
        <v>4</v>
      </c>
      <c r="K87" s="63">
        <v>5</v>
      </c>
      <c r="M87" s="63">
        <v>85</v>
      </c>
      <c r="N87" s="63">
        <v>17</v>
      </c>
      <c r="O87" s="63">
        <v>6</v>
      </c>
      <c r="P87" s="63">
        <v>1</v>
      </c>
      <c r="Q87" s="63">
        <v>5</v>
      </c>
      <c r="S87" s="63">
        <v>85</v>
      </c>
      <c r="T87" s="63">
        <f t="shared" si="3"/>
        <v>17</v>
      </c>
      <c r="U87" s="63">
        <f t="shared" si="2"/>
        <v>0</v>
      </c>
      <c r="V87" s="63">
        <f>VLOOKUP(T87,$AA$2:$AC$68,3,FALSE)</f>
        <v>0</v>
      </c>
      <c r="W87" s="63">
        <v>5</v>
      </c>
    </row>
    <row r="88" spans="1:23" ht="12" customHeight="1">
      <c r="A88" s="64">
        <v>86</v>
      </c>
      <c r="B88" s="64">
        <v>18</v>
      </c>
      <c r="C88" s="64">
        <v>1</v>
      </c>
      <c r="D88" s="64">
        <v>5</v>
      </c>
      <c r="E88" s="64">
        <v>1</v>
      </c>
      <c r="G88" s="64">
        <v>86</v>
      </c>
      <c r="H88" s="64">
        <v>18</v>
      </c>
      <c r="I88" s="64">
        <v>9</v>
      </c>
      <c r="J88" s="64">
        <v>5</v>
      </c>
      <c r="K88" s="64">
        <v>1</v>
      </c>
      <c r="M88" s="64">
        <v>86</v>
      </c>
      <c r="N88" s="64">
        <v>18</v>
      </c>
      <c r="O88" s="64">
        <v>4</v>
      </c>
      <c r="P88" s="64">
        <v>8</v>
      </c>
      <c r="Q88" s="64">
        <v>1</v>
      </c>
      <c r="S88" s="64">
        <v>86</v>
      </c>
      <c r="T88" s="64">
        <f t="shared" si="3"/>
        <v>18</v>
      </c>
      <c r="U88" s="64">
        <f t="shared" si="2"/>
        <v>0</v>
      </c>
      <c r="V88" s="64">
        <f>VLOOKUP(T88,$AA$3:$AC$68,3,FALSE)</f>
        <v>0</v>
      </c>
      <c r="W88" s="64">
        <v>1</v>
      </c>
    </row>
    <row r="89" spans="1:23" ht="12" customHeight="1">
      <c r="A89" s="64">
        <v>87</v>
      </c>
      <c r="B89" s="64">
        <v>18</v>
      </c>
      <c r="C89" s="64">
        <v>1</v>
      </c>
      <c r="D89" s="64">
        <v>5</v>
      </c>
      <c r="E89" s="64">
        <v>2</v>
      </c>
      <c r="G89" s="64">
        <v>87</v>
      </c>
      <c r="H89" s="64">
        <v>18</v>
      </c>
      <c r="I89" s="64">
        <v>9</v>
      </c>
      <c r="J89" s="64">
        <v>5</v>
      </c>
      <c r="K89" s="64">
        <v>2</v>
      </c>
      <c r="M89" s="64">
        <v>87</v>
      </c>
      <c r="N89" s="64">
        <v>18</v>
      </c>
      <c r="O89" s="64">
        <v>4</v>
      </c>
      <c r="P89" s="64">
        <v>8</v>
      </c>
      <c r="Q89" s="64">
        <v>2</v>
      </c>
      <c r="S89" s="64">
        <v>87</v>
      </c>
      <c r="T89" s="64">
        <f t="shared" si="3"/>
        <v>18</v>
      </c>
      <c r="U89" s="64">
        <f t="shared" si="2"/>
        <v>0</v>
      </c>
      <c r="V89" s="64">
        <f>VLOOKUP(T89,$AA$3:$AC$68,3,FALSE)</f>
        <v>0</v>
      </c>
      <c r="W89" s="64">
        <v>2</v>
      </c>
    </row>
    <row r="90" spans="1:23" ht="12" customHeight="1">
      <c r="A90" s="64">
        <v>88</v>
      </c>
      <c r="B90" s="64">
        <v>18</v>
      </c>
      <c r="C90" s="64">
        <v>1</v>
      </c>
      <c r="D90" s="64">
        <v>5</v>
      </c>
      <c r="E90" s="64">
        <v>3</v>
      </c>
      <c r="G90" s="64">
        <v>88</v>
      </c>
      <c r="H90" s="64">
        <v>18</v>
      </c>
      <c r="I90" s="64">
        <v>9</v>
      </c>
      <c r="J90" s="64">
        <v>5</v>
      </c>
      <c r="K90" s="64">
        <v>3</v>
      </c>
      <c r="M90" s="64">
        <v>88</v>
      </c>
      <c r="N90" s="64">
        <v>18</v>
      </c>
      <c r="O90" s="64">
        <v>4</v>
      </c>
      <c r="P90" s="64">
        <v>8</v>
      </c>
      <c r="Q90" s="64">
        <v>3</v>
      </c>
      <c r="S90" s="64">
        <v>88</v>
      </c>
      <c r="T90" s="64">
        <f t="shared" si="3"/>
        <v>18</v>
      </c>
      <c r="U90" s="64">
        <f t="shared" si="2"/>
        <v>0</v>
      </c>
      <c r="V90" s="64">
        <f>VLOOKUP(T90,$AA$3:$AC$68,3,FALSE)</f>
        <v>0</v>
      </c>
      <c r="W90" s="64">
        <v>3</v>
      </c>
    </row>
    <row r="91" spans="1:23" ht="12" customHeight="1">
      <c r="A91" s="64">
        <v>89</v>
      </c>
      <c r="B91" s="64">
        <v>18</v>
      </c>
      <c r="C91" s="64">
        <v>1</v>
      </c>
      <c r="D91" s="64">
        <v>5</v>
      </c>
      <c r="E91" s="64">
        <v>4</v>
      </c>
      <c r="G91" s="64">
        <v>89</v>
      </c>
      <c r="H91" s="64">
        <v>18</v>
      </c>
      <c r="I91" s="64">
        <v>9</v>
      </c>
      <c r="J91" s="64">
        <v>5</v>
      </c>
      <c r="K91" s="64">
        <v>4</v>
      </c>
      <c r="M91" s="64">
        <v>89</v>
      </c>
      <c r="N91" s="64">
        <v>18</v>
      </c>
      <c r="O91" s="64">
        <v>4</v>
      </c>
      <c r="P91" s="64">
        <v>8</v>
      </c>
      <c r="Q91" s="64">
        <v>4</v>
      </c>
      <c r="S91" s="64">
        <v>89</v>
      </c>
      <c r="T91" s="64">
        <f t="shared" si="3"/>
        <v>18</v>
      </c>
      <c r="U91" s="64">
        <f t="shared" si="2"/>
        <v>0</v>
      </c>
      <c r="V91" s="64">
        <f>VLOOKUP(T91,$AA$3:$AC$68,3,FALSE)</f>
        <v>0</v>
      </c>
      <c r="W91" s="64">
        <v>4</v>
      </c>
    </row>
    <row r="92" spans="1:23" ht="12" customHeight="1">
      <c r="A92" s="64">
        <v>90</v>
      </c>
      <c r="B92" s="64">
        <v>18</v>
      </c>
      <c r="C92" s="64">
        <v>1</v>
      </c>
      <c r="D92" s="64">
        <v>5</v>
      </c>
      <c r="E92" s="64">
        <v>5</v>
      </c>
      <c r="G92" s="64">
        <v>90</v>
      </c>
      <c r="H92" s="64">
        <v>18</v>
      </c>
      <c r="I92" s="64">
        <v>9</v>
      </c>
      <c r="J92" s="64">
        <v>5</v>
      </c>
      <c r="K92" s="64">
        <v>5</v>
      </c>
      <c r="M92" s="64">
        <v>90</v>
      </c>
      <c r="N92" s="64">
        <v>18</v>
      </c>
      <c r="O92" s="64">
        <v>4</v>
      </c>
      <c r="P92" s="64">
        <v>8</v>
      </c>
      <c r="Q92" s="64">
        <v>5</v>
      </c>
      <c r="S92" s="64">
        <v>90</v>
      </c>
      <c r="T92" s="64">
        <f t="shared" si="3"/>
        <v>18</v>
      </c>
      <c r="U92" s="64">
        <f t="shared" si="2"/>
        <v>0</v>
      </c>
      <c r="V92" s="64">
        <f>VLOOKUP(T92,$AA$3:$AC$68,3,FALSE)</f>
        <v>0</v>
      </c>
      <c r="W92" s="64">
        <v>5</v>
      </c>
    </row>
    <row r="93" spans="1:23" ht="12" customHeight="1">
      <c r="A93" s="63">
        <v>91</v>
      </c>
      <c r="B93" s="63">
        <v>19</v>
      </c>
      <c r="C93" s="63">
        <v>6</v>
      </c>
      <c r="D93" s="63">
        <v>8</v>
      </c>
      <c r="E93" s="63">
        <v>1</v>
      </c>
      <c r="G93" s="63">
        <v>91</v>
      </c>
      <c r="H93" s="63">
        <v>19</v>
      </c>
      <c r="I93" s="63">
        <v>8</v>
      </c>
      <c r="J93" s="63">
        <v>6</v>
      </c>
      <c r="K93" s="63">
        <v>1</v>
      </c>
      <c r="M93" s="63">
        <v>91</v>
      </c>
      <c r="N93" s="63">
        <v>19</v>
      </c>
      <c r="O93" s="63">
        <v>2</v>
      </c>
      <c r="P93" s="63">
        <v>10</v>
      </c>
      <c r="Q93" s="63">
        <v>1</v>
      </c>
      <c r="S93" s="63">
        <v>91</v>
      </c>
      <c r="T93" s="63">
        <f t="shared" si="3"/>
        <v>19</v>
      </c>
      <c r="U93" s="63">
        <f t="shared" si="2"/>
        <v>0</v>
      </c>
      <c r="V93" s="63">
        <f>VLOOKUP(T93,$AA$2:$AC$68,3,FALSE)</f>
        <v>0</v>
      </c>
      <c r="W93" s="63">
        <v>1</v>
      </c>
    </row>
    <row r="94" spans="1:23" ht="12" customHeight="1">
      <c r="A94" s="63">
        <v>92</v>
      </c>
      <c r="B94" s="63">
        <v>19</v>
      </c>
      <c r="C94" s="63">
        <v>6</v>
      </c>
      <c r="D94" s="63">
        <v>8</v>
      </c>
      <c r="E94" s="63">
        <v>2</v>
      </c>
      <c r="G94" s="63">
        <v>92</v>
      </c>
      <c r="H94" s="63">
        <v>19</v>
      </c>
      <c r="I94" s="63">
        <v>8</v>
      </c>
      <c r="J94" s="63">
        <v>6</v>
      </c>
      <c r="K94" s="63">
        <v>2</v>
      </c>
      <c r="M94" s="63">
        <v>92</v>
      </c>
      <c r="N94" s="63">
        <v>19</v>
      </c>
      <c r="O94" s="63">
        <v>2</v>
      </c>
      <c r="P94" s="63">
        <v>10</v>
      </c>
      <c r="Q94" s="63">
        <v>2</v>
      </c>
      <c r="S94" s="63">
        <v>92</v>
      </c>
      <c r="T94" s="63">
        <f t="shared" si="3"/>
        <v>19</v>
      </c>
      <c r="U94" s="63">
        <f t="shared" si="2"/>
        <v>0</v>
      </c>
      <c r="V94" s="63">
        <f>VLOOKUP(T94,$AA$2:$AC$68,3,FALSE)</f>
        <v>0</v>
      </c>
      <c r="W94" s="63">
        <v>2</v>
      </c>
    </row>
    <row r="95" spans="1:23" ht="12" customHeight="1">
      <c r="A95" s="63">
        <v>93</v>
      </c>
      <c r="B95" s="63">
        <v>19</v>
      </c>
      <c r="C95" s="63">
        <v>6</v>
      </c>
      <c r="D95" s="63">
        <v>8</v>
      </c>
      <c r="E95" s="63">
        <v>3</v>
      </c>
      <c r="G95" s="63">
        <v>93</v>
      </c>
      <c r="H95" s="63">
        <v>19</v>
      </c>
      <c r="I95" s="63">
        <v>8</v>
      </c>
      <c r="J95" s="63">
        <v>6</v>
      </c>
      <c r="K95" s="63">
        <v>3</v>
      </c>
      <c r="M95" s="63">
        <v>93</v>
      </c>
      <c r="N95" s="63">
        <v>19</v>
      </c>
      <c r="O95" s="63">
        <v>2</v>
      </c>
      <c r="P95" s="63">
        <v>10</v>
      </c>
      <c r="Q95" s="63">
        <v>3</v>
      </c>
      <c r="S95" s="63">
        <v>93</v>
      </c>
      <c r="T95" s="63">
        <f t="shared" si="3"/>
        <v>19</v>
      </c>
      <c r="U95" s="63">
        <f t="shared" si="2"/>
        <v>0</v>
      </c>
      <c r="V95" s="63">
        <f>VLOOKUP(T95,$AA$2:$AC$68,3,FALSE)</f>
        <v>0</v>
      </c>
      <c r="W95" s="63">
        <v>3</v>
      </c>
    </row>
    <row r="96" spans="1:23" ht="12" customHeight="1">
      <c r="A96" s="63">
        <v>94</v>
      </c>
      <c r="B96" s="63">
        <v>19</v>
      </c>
      <c r="C96" s="63">
        <v>6</v>
      </c>
      <c r="D96" s="63">
        <v>8</v>
      </c>
      <c r="E96" s="63">
        <v>4</v>
      </c>
      <c r="G96" s="63">
        <v>94</v>
      </c>
      <c r="H96" s="63">
        <v>19</v>
      </c>
      <c r="I96" s="63">
        <v>8</v>
      </c>
      <c r="J96" s="63">
        <v>6</v>
      </c>
      <c r="K96" s="63">
        <v>4</v>
      </c>
      <c r="M96" s="63">
        <v>94</v>
      </c>
      <c r="N96" s="63">
        <v>19</v>
      </c>
      <c r="O96" s="63">
        <v>2</v>
      </c>
      <c r="P96" s="63">
        <v>10</v>
      </c>
      <c r="Q96" s="63">
        <v>4</v>
      </c>
      <c r="S96" s="63">
        <v>94</v>
      </c>
      <c r="T96" s="63">
        <f t="shared" si="3"/>
        <v>19</v>
      </c>
      <c r="U96" s="63">
        <f t="shared" si="2"/>
        <v>0</v>
      </c>
      <c r="V96" s="63">
        <f>VLOOKUP(T96,$AA$2:$AC$68,3,FALSE)</f>
        <v>0</v>
      </c>
      <c r="W96" s="63">
        <v>4</v>
      </c>
    </row>
    <row r="97" spans="1:23" ht="12" customHeight="1">
      <c r="A97" s="63">
        <v>95</v>
      </c>
      <c r="B97" s="63">
        <v>19</v>
      </c>
      <c r="C97" s="63">
        <v>6</v>
      </c>
      <c r="D97" s="63">
        <v>8</v>
      </c>
      <c r="E97" s="63">
        <v>5</v>
      </c>
      <c r="G97" s="63">
        <v>95</v>
      </c>
      <c r="H97" s="63">
        <v>19</v>
      </c>
      <c r="I97" s="63">
        <v>8</v>
      </c>
      <c r="J97" s="63">
        <v>6</v>
      </c>
      <c r="K97" s="63">
        <v>5</v>
      </c>
      <c r="M97" s="63">
        <v>95</v>
      </c>
      <c r="N97" s="63">
        <v>19</v>
      </c>
      <c r="O97" s="63">
        <v>2</v>
      </c>
      <c r="P97" s="63">
        <v>10</v>
      </c>
      <c r="Q97" s="63">
        <v>5</v>
      </c>
      <c r="S97" s="63">
        <v>95</v>
      </c>
      <c r="T97" s="63">
        <f t="shared" si="3"/>
        <v>19</v>
      </c>
      <c r="U97" s="63">
        <f t="shared" si="2"/>
        <v>0</v>
      </c>
      <c r="V97" s="63">
        <f>VLOOKUP(T97,$AA$2:$AC$68,3,FALSE)</f>
        <v>0</v>
      </c>
      <c r="W97" s="63">
        <v>5</v>
      </c>
    </row>
    <row r="98" spans="1:23" ht="12" customHeight="1">
      <c r="A98" s="64">
        <v>96</v>
      </c>
      <c r="B98" s="64">
        <v>20</v>
      </c>
      <c r="C98" s="64">
        <v>4</v>
      </c>
      <c r="D98" s="64">
        <v>9</v>
      </c>
      <c r="E98" s="64">
        <v>1</v>
      </c>
      <c r="G98" s="64">
        <v>96</v>
      </c>
      <c r="H98" s="64">
        <v>20</v>
      </c>
      <c r="I98" s="64">
        <v>1</v>
      </c>
      <c r="J98" s="64">
        <v>7</v>
      </c>
      <c r="K98" s="64">
        <v>1</v>
      </c>
      <c r="M98" s="64">
        <v>96</v>
      </c>
      <c r="N98" s="64">
        <v>20</v>
      </c>
      <c r="O98" s="64">
        <v>3</v>
      </c>
      <c r="P98" s="64">
        <v>11</v>
      </c>
      <c r="Q98" s="64">
        <v>1</v>
      </c>
      <c r="S98" s="64">
        <v>96</v>
      </c>
      <c r="T98" s="64">
        <f t="shared" si="3"/>
        <v>20</v>
      </c>
      <c r="U98" s="64">
        <f t="shared" si="2"/>
        <v>0</v>
      </c>
      <c r="V98" s="64">
        <f>VLOOKUP(T98,$AA$3:$AC$68,3,FALSE)</f>
        <v>0</v>
      </c>
      <c r="W98" s="64">
        <v>1</v>
      </c>
    </row>
    <row r="99" spans="1:23" ht="12" customHeight="1">
      <c r="A99" s="64">
        <v>97</v>
      </c>
      <c r="B99" s="64">
        <v>20</v>
      </c>
      <c r="C99" s="64">
        <v>4</v>
      </c>
      <c r="D99" s="64">
        <v>9</v>
      </c>
      <c r="E99" s="64">
        <v>2</v>
      </c>
      <c r="G99" s="64">
        <v>97</v>
      </c>
      <c r="H99" s="64">
        <v>20</v>
      </c>
      <c r="I99" s="64">
        <v>1</v>
      </c>
      <c r="J99" s="64">
        <v>7</v>
      </c>
      <c r="K99" s="64">
        <v>2</v>
      </c>
      <c r="M99" s="64">
        <v>97</v>
      </c>
      <c r="N99" s="64">
        <v>20</v>
      </c>
      <c r="O99" s="64">
        <v>3</v>
      </c>
      <c r="P99" s="64">
        <v>11</v>
      </c>
      <c r="Q99" s="64">
        <v>2</v>
      </c>
      <c r="S99" s="64">
        <v>97</v>
      </c>
      <c r="T99" s="64">
        <f t="shared" si="3"/>
        <v>20</v>
      </c>
      <c r="U99" s="64">
        <f t="shared" si="2"/>
        <v>0</v>
      </c>
      <c r="V99" s="64">
        <f>VLOOKUP(T99,$AA$3:$AC$68,3,FALSE)</f>
        <v>0</v>
      </c>
      <c r="W99" s="64">
        <v>2</v>
      </c>
    </row>
    <row r="100" spans="1:23" ht="12" customHeight="1">
      <c r="A100" s="64">
        <v>98</v>
      </c>
      <c r="B100" s="64">
        <v>20</v>
      </c>
      <c r="C100" s="64">
        <v>4</v>
      </c>
      <c r="D100" s="64">
        <v>9</v>
      </c>
      <c r="E100" s="64">
        <v>3</v>
      </c>
      <c r="G100" s="64">
        <v>98</v>
      </c>
      <c r="H100" s="64">
        <v>20</v>
      </c>
      <c r="I100" s="64">
        <v>1</v>
      </c>
      <c r="J100" s="64">
        <v>7</v>
      </c>
      <c r="K100" s="64">
        <v>3</v>
      </c>
      <c r="M100" s="64">
        <v>98</v>
      </c>
      <c r="N100" s="64">
        <v>20</v>
      </c>
      <c r="O100" s="64">
        <v>3</v>
      </c>
      <c r="P100" s="64">
        <v>11</v>
      </c>
      <c r="Q100" s="64">
        <v>3</v>
      </c>
      <c r="S100" s="64">
        <v>98</v>
      </c>
      <c r="T100" s="64">
        <f t="shared" si="3"/>
        <v>20</v>
      </c>
      <c r="U100" s="64">
        <f t="shared" si="2"/>
        <v>0</v>
      </c>
      <c r="V100" s="64">
        <f>VLOOKUP(T100,$AA$3:$AC$68,3,FALSE)</f>
        <v>0</v>
      </c>
      <c r="W100" s="64">
        <v>3</v>
      </c>
    </row>
    <row r="101" spans="1:23" ht="12" customHeight="1">
      <c r="A101" s="64">
        <v>99</v>
      </c>
      <c r="B101" s="64">
        <v>20</v>
      </c>
      <c r="C101" s="64">
        <v>4</v>
      </c>
      <c r="D101" s="64">
        <v>9</v>
      </c>
      <c r="E101" s="64">
        <v>4</v>
      </c>
      <c r="G101" s="64">
        <v>99</v>
      </c>
      <c r="H101" s="64">
        <v>20</v>
      </c>
      <c r="I101" s="64">
        <v>1</v>
      </c>
      <c r="J101" s="64">
        <v>7</v>
      </c>
      <c r="K101" s="64">
        <v>4</v>
      </c>
      <c r="M101" s="64">
        <v>99</v>
      </c>
      <c r="N101" s="64">
        <v>20</v>
      </c>
      <c r="O101" s="64">
        <v>3</v>
      </c>
      <c r="P101" s="64">
        <v>11</v>
      </c>
      <c r="Q101" s="64">
        <v>4</v>
      </c>
      <c r="S101" s="64">
        <v>99</v>
      </c>
      <c r="T101" s="64">
        <f t="shared" si="3"/>
        <v>20</v>
      </c>
      <c r="U101" s="64">
        <f t="shared" si="2"/>
        <v>0</v>
      </c>
      <c r="V101" s="64">
        <f>VLOOKUP(T101,$AA$3:$AC$68,3,FALSE)</f>
        <v>0</v>
      </c>
      <c r="W101" s="64">
        <v>4</v>
      </c>
    </row>
    <row r="102" spans="1:23" ht="12" customHeight="1">
      <c r="A102" s="64">
        <v>100</v>
      </c>
      <c r="B102" s="64">
        <v>20</v>
      </c>
      <c r="C102" s="64">
        <v>4</v>
      </c>
      <c r="D102" s="64">
        <v>9</v>
      </c>
      <c r="E102" s="64">
        <v>5</v>
      </c>
      <c r="G102" s="64">
        <v>100</v>
      </c>
      <c r="H102" s="64">
        <v>20</v>
      </c>
      <c r="I102" s="64">
        <v>1</v>
      </c>
      <c r="J102" s="64">
        <v>7</v>
      </c>
      <c r="K102" s="64">
        <v>5</v>
      </c>
      <c r="M102" s="64">
        <v>100</v>
      </c>
      <c r="N102" s="64">
        <v>20</v>
      </c>
      <c r="O102" s="64">
        <v>3</v>
      </c>
      <c r="P102" s="64">
        <v>11</v>
      </c>
      <c r="Q102" s="64">
        <v>5</v>
      </c>
      <c r="S102" s="64">
        <v>100</v>
      </c>
      <c r="T102" s="64">
        <f t="shared" si="3"/>
        <v>20</v>
      </c>
      <c r="U102" s="64">
        <f t="shared" si="2"/>
        <v>0</v>
      </c>
      <c r="V102" s="64">
        <f>VLOOKUP(T102,$AA$3:$AC$68,3,FALSE)</f>
        <v>0</v>
      </c>
      <c r="W102" s="64">
        <v>5</v>
      </c>
    </row>
    <row r="103" spans="1:23" ht="12" customHeight="1">
      <c r="A103" s="63">
        <v>101</v>
      </c>
      <c r="B103" s="63">
        <v>21</v>
      </c>
      <c r="C103" s="63">
        <v>2</v>
      </c>
      <c r="D103" s="63">
        <v>7</v>
      </c>
      <c r="E103" s="63">
        <v>1</v>
      </c>
      <c r="G103" s="63">
        <v>101</v>
      </c>
      <c r="H103" s="63">
        <v>21</v>
      </c>
      <c r="I103" s="63">
        <v>10</v>
      </c>
      <c r="J103" s="63">
        <v>2</v>
      </c>
      <c r="K103" s="63">
        <v>1</v>
      </c>
      <c r="M103" s="63">
        <v>101</v>
      </c>
      <c r="N103" s="63">
        <v>21</v>
      </c>
      <c r="O103" s="63">
        <v>5</v>
      </c>
      <c r="P103" s="63">
        <v>9</v>
      </c>
      <c r="Q103" s="63">
        <v>1</v>
      </c>
      <c r="S103" s="63">
        <v>101</v>
      </c>
      <c r="T103" s="63">
        <f t="shared" si="3"/>
        <v>21</v>
      </c>
      <c r="U103" s="63">
        <f t="shared" si="2"/>
        <v>0</v>
      </c>
      <c r="V103" s="63">
        <f>VLOOKUP(T103,$AA$2:$AC$68,3,FALSE)</f>
        <v>0</v>
      </c>
      <c r="W103" s="63">
        <v>1</v>
      </c>
    </row>
    <row r="104" spans="1:23" ht="12" customHeight="1">
      <c r="A104" s="63">
        <v>102</v>
      </c>
      <c r="B104" s="63">
        <v>21</v>
      </c>
      <c r="C104" s="63">
        <v>2</v>
      </c>
      <c r="D104" s="63">
        <v>7</v>
      </c>
      <c r="E104" s="63">
        <v>2</v>
      </c>
      <c r="G104" s="63">
        <v>102</v>
      </c>
      <c r="H104" s="63">
        <v>21</v>
      </c>
      <c r="I104" s="63">
        <v>10</v>
      </c>
      <c r="J104" s="63">
        <v>2</v>
      </c>
      <c r="K104" s="63">
        <v>2</v>
      </c>
      <c r="M104" s="63">
        <v>102</v>
      </c>
      <c r="N104" s="63">
        <v>21</v>
      </c>
      <c r="O104" s="63">
        <v>5</v>
      </c>
      <c r="P104" s="63">
        <v>9</v>
      </c>
      <c r="Q104" s="63">
        <v>2</v>
      </c>
      <c r="S104" s="63">
        <v>102</v>
      </c>
      <c r="T104" s="63">
        <f t="shared" si="3"/>
        <v>21</v>
      </c>
      <c r="U104" s="63">
        <f t="shared" si="2"/>
        <v>0</v>
      </c>
      <c r="V104" s="63">
        <f>VLOOKUP(T104,$AA$2:$AC$68,3,FALSE)</f>
        <v>0</v>
      </c>
      <c r="W104" s="63">
        <v>2</v>
      </c>
    </row>
    <row r="105" spans="1:23" ht="12" customHeight="1">
      <c r="A105" s="63">
        <v>103</v>
      </c>
      <c r="B105" s="63">
        <v>21</v>
      </c>
      <c r="C105" s="63">
        <v>2</v>
      </c>
      <c r="D105" s="63">
        <v>7</v>
      </c>
      <c r="E105" s="63">
        <v>3</v>
      </c>
      <c r="G105" s="63">
        <v>103</v>
      </c>
      <c r="H105" s="63">
        <v>21</v>
      </c>
      <c r="I105" s="63">
        <v>10</v>
      </c>
      <c r="J105" s="63">
        <v>2</v>
      </c>
      <c r="K105" s="63">
        <v>3</v>
      </c>
      <c r="M105" s="63">
        <v>103</v>
      </c>
      <c r="N105" s="63">
        <v>21</v>
      </c>
      <c r="O105" s="63">
        <v>5</v>
      </c>
      <c r="P105" s="63">
        <v>9</v>
      </c>
      <c r="Q105" s="63">
        <v>3</v>
      </c>
      <c r="S105" s="63">
        <v>103</v>
      </c>
      <c r="T105" s="63">
        <f t="shared" si="3"/>
        <v>21</v>
      </c>
      <c r="U105" s="63">
        <f t="shared" si="2"/>
        <v>0</v>
      </c>
      <c r="V105" s="63">
        <f>VLOOKUP(T105,$AA$2:$AC$68,3,FALSE)</f>
        <v>0</v>
      </c>
      <c r="W105" s="63">
        <v>3</v>
      </c>
    </row>
    <row r="106" spans="1:23" ht="12" customHeight="1">
      <c r="A106" s="63">
        <v>104</v>
      </c>
      <c r="B106" s="63">
        <v>21</v>
      </c>
      <c r="C106" s="63">
        <v>2</v>
      </c>
      <c r="D106" s="63">
        <v>7</v>
      </c>
      <c r="E106" s="63">
        <v>4</v>
      </c>
      <c r="G106" s="63">
        <v>104</v>
      </c>
      <c r="H106" s="63">
        <v>21</v>
      </c>
      <c r="I106" s="63">
        <v>10</v>
      </c>
      <c r="J106" s="63">
        <v>2</v>
      </c>
      <c r="K106" s="63">
        <v>4</v>
      </c>
      <c r="M106" s="63">
        <v>104</v>
      </c>
      <c r="N106" s="63">
        <v>21</v>
      </c>
      <c r="O106" s="63">
        <v>5</v>
      </c>
      <c r="P106" s="63">
        <v>9</v>
      </c>
      <c r="Q106" s="63">
        <v>4</v>
      </c>
      <c r="S106" s="63">
        <v>104</v>
      </c>
      <c r="T106" s="63">
        <f t="shared" si="3"/>
        <v>21</v>
      </c>
      <c r="U106" s="63">
        <f t="shared" si="2"/>
        <v>0</v>
      </c>
      <c r="V106" s="63">
        <f>VLOOKUP(T106,$AA$2:$AC$68,3,FALSE)</f>
        <v>0</v>
      </c>
      <c r="W106" s="63">
        <v>4</v>
      </c>
    </row>
    <row r="107" spans="1:23" ht="12" customHeight="1">
      <c r="A107" s="63">
        <v>105</v>
      </c>
      <c r="B107" s="63">
        <v>21</v>
      </c>
      <c r="C107" s="63">
        <v>2</v>
      </c>
      <c r="D107" s="63">
        <v>7</v>
      </c>
      <c r="E107" s="63">
        <v>5</v>
      </c>
      <c r="G107" s="63">
        <v>105</v>
      </c>
      <c r="H107" s="63">
        <v>21</v>
      </c>
      <c r="I107" s="63">
        <v>10</v>
      </c>
      <c r="J107" s="63">
        <v>2</v>
      </c>
      <c r="K107" s="63">
        <v>5</v>
      </c>
      <c r="M107" s="63">
        <v>105</v>
      </c>
      <c r="N107" s="63">
        <v>21</v>
      </c>
      <c r="O107" s="63">
        <v>5</v>
      </c>
      <c r="P107" s="63">
        <v>9</v>
      </c>
      <c r="Q107" s="63">
        <v>5</v>
      </c>
      <c r="S107" s="63">
        <v>105</v>
      </c>
      <c r="T107" s="63">
        <f t="shared" si="3"/>
        <v>21</v>
      </c>
      <c r="U107" s="63">
        <f t="shared" si="2"/>
        <v>0</v>
      </c>
      <c r="V107" s="63">
        <f>VLOOKUP(T107,$AA$2:$AC$68,3,FALSE)</f>
        <v>0</v>
      </c>
      <c r="W107" s="63">
        <v>5</v>
      </c>
    </row>
    <row r="108" spans="1:23" ht="12" customHeight="1">
      <c r="A108" s="64">
        <v>106</v>
      </c>
      <c r="B108" s="64">
        <v>22</v>
      </c>
      <c r="C108" s="64">
        <v>3</v>
      </c>
      <c r="D108" s="64">
        <v>5</v>
      </c>
      <c r="E108" s="64">
        <v>1</v>
      </c>
      <c r="G108" s="64">
        <v>106</v>
      </c>
      <c r="H108" s="64">
        <v>22</v>
      </c>
      <c r="I108" s="64">
        <v>9</v>
      </c>
      <c r="J108" s="64">
        <v>3</v>
      </c>
      <c r="K108" s="64">
        <v>1</v>
      </c>
      <c r="M108" s="64">
        <v>106</v>
      </c>
      <c r="N108" s="64">
        <v>22</v>
      </c>
      <c r="O108" s="64">
        <v>1</v>
      </c>
      <c r="P108" s="64">
        <v>7</v>
      </c>
      <c r="Q108" s="64">
        <v>1</v>
      </c>
      <c r="S108" s="64">
        <v>106</v>
      </c>
      <c r="T108" s="64">
        <f t="shared" si="3"/>
        <v>22</v>
      </c>
      <c r="U108" s="64">
        <f t="shared" si="2"/>
        <v>0</v>
      </c>
      <c r="V108" s="64">
        <f>VLOOKUP(T108,$AA$3:$AC$68,3,FALSE)</f>
        <v>0</v>
      </c>
      <c r="W108" s="64">
        <v>1</v>
      </c>
    </row>
    <row r="109" spans="1:23" ht="12" customHeight="1">
      <c r="A109" s="64">
        <v>107</v>
      </c>
      <c r="B109" s="64">
        <v>22</v>
      </c>
      <c r="C109" s="64">
        <v>3</v>
      </c>
      <c r="D109" s="64">
        <v>5</v>
      </c>
      <c r="E109" s="64">
        <v>2</v>
      </c>
      <c r="G109" s="64">
        <v>107</v>
      </c>
      <c r="H109" s="64">
        <v>22</v>
      </c>
      <c r="I109" s="64">
        <v>9</v>
      </c>
      <c r="J109" s="64">
        <v>3</v>
      </c>
      <c r="K109" s="64">
        <v>2</v>
      </c>
      <c r="M109" s="64">
        <v>107</v>
      </c>
      <c r="N109" s="64">
        <v>22</v>
      </c>
      <c r="O109" s="64">
        <v>1</v>
      </c>
      <c r="P109" s="64">
        <v>7</v>
      </c>
      <c r="Q109" s="64">
        <v>2</v>
      </c>
      <c r="S109" s="64">
        <v>107</v>
      </c>
      <c r="T109" s="64">
        <f t="shared" si="3"/>
        <v>22</v>
      </c>
      <c r="U109" s="64">
        <f t="shared" si="2"/>
        <v>0</v>
      </c>
      <c r="V109" s="64">
        <f>VLOOKUP(T109,$AA$3:$AC$68,3,FALSE)</f>
        <v>0</v>
      </c>
      <c r="W109" s="64">
        <v>2</v>
      </c>
    </row>
    <row r="110" spans="1:23" ht="12" customHeight="1">
      <c r="A110" s="64">
        <v>108</v>
      </c>
      <c r="B110" s="64">
        <v>22</v>
      </c>
      <c r="C110" s="64">
        <v>3</v>
      </c>
      <c r="D110" s="64">
        <v>5</v>
      </c>
      <c r="E110" s="64">
        <v>3</v>
      </c>
      <c r="G110" s="64">
        <v>108</v>
      </c>
      <c r="H110" s="64">
        <v>22</v>
      </c>
      <c r="I110" s="64">
        <v>9</v>
      </c>
      <c r="J110" s="64">
        <v>3</v>
      </c>
      <c r="K110" s="64">
        <v>3</v>
      </c>
      <c r="M110" s="64">
        <v>108</v>
      </c>
      <c r="N110" s="64">
        <v>22</v>
      </c>
      <c r="O110" s="64">
        <v>1</v>
      </c>
      <c r="P110" s="64">
        <v>7</v>
      </c>
      <c r="Q110" s="64">
        <v>3</v>
      </c>
      <c r="S110" s="64">
        <v>108</v>
      </c>
      <c r="T110" s="64">
        <f t="shared" si="3"/>
        <v>22</v>
      </c>
      <c r="U110" s="64">
        <f t="shared" si="2"/>
        <v>0</v>
      </c>
      <c r="V110" s="64">
        <f>VLOOKUP(T110,$AA$3:$AC$68,3,FALSE)</f>
        <v>0</v>
      </c>
      <c r="W110" s="64">
        <v>3</v>
      </c>
    </row>
    <row r="111" spans="1:23" ht="12" customHeight="1">
      <c r="A111" s="64">
        <v>109</v>
      </c>
      <c r="B111" s="64">
        <v>22</v>
      </c>
      <c r="C111" s="64">
        <v>3</v>
      </c>
      <c r="D111" s="64">
        <v>5</v>
      </c>
      <c r="E111" s="64">
        <v>4</v>
      </c>
      <c r="G111" s="64">
        <v>109</v>
      </c>
      <c r="H111" s="64">
        <v>22</v>
      </c>
      <c r="I111" s="64">
        <v>9</v>
      </c>
      <c r="J111" s="64">
        <v>3</v>
      </c>
      <c r="K111" s="64">
        <v>4</v>
      </c>
      <c r="M111" s="64">
        <v>109</v>
      </c>
      <c r="N111" s="64">
        <v>22</v>
      </c>
      <c r="O111" s="64">
        <v>1</v>
      </c>
      <c r="P111" s="64">
        <v>7</v>
      </c>
      <c r="Q111" s="64">
        <v>4</v>
      </c>
      <c r="S111" s="64">
        <v>109</v>
      </c>
      <c r="T111" s="64">
        <f t="shared" si="3"/>
        <v>22</v>
      </c>
      <c r="U111" s="64">
        <f t="shared" si="2"/>
        <v>0</v>
      </c>
      <c r="V111" s="64">
        <f>VLOOKUP(T111,$AA$3:$AC$68,3,FALSE)</f>
        <v>0</v>
      </c>
      <c r="W111" s="64">
        <v>4</v>
      </c>
    </row>
    <row r="112" spans="1:23" ht="12" customHeight="1">
      <c r="A112" s="64">
        <v>110</v>
      </c>
      <c r="B112" s="64">
        <v>22</v>
      </c>
      <c r="C112" s="64">
        <v>3</v>
      </c>
      <c r="D112" s="64">
        <v>5</v>
      </c>
      <c r="E112" s="64">
        <v>5</v>
      </c>
      <c r="G112" s="64">
        <v>110</v>
      </c>
      <c r="H112" s="64">
        <v>22</v>
      </c>
      <c r="I112" s="64">
        <v>9</v>
      </c>
      <c r="J112" s="64">
        <v>3</v>
      </c>
      <c r="K112" s="64">
        <v>5</v>
      </c>
      <c r="M112" s="64">
        <v>110</v>
      </c>
      <c r="N112" s="64">
        <v>22</v>
      </c>
      <c r="O112" s="64">
        <v>1</v>
      </c>
      <c r="P112" s="64">
        <v>7</v>
      </c>
      <c r="Q112" s="64">
        <v>5</v>
      </c>
      <c r="S112" s="64">
        <v>110</v>
      </c>
      <c r="T112" s="64">
        <f t="shared" si="3"/>
        <v>22</v>
      </c>
      <c r="U112" s="64">
        <f t="shared" si="2"/>
        <v>0</v>
      </c>
      <c r="V112" s="64">
        <f>VLOOKUP(T112,$AA$3:$AC$68,3,FALSE)</f>
        <v>0</v>
      </c>
      <c r="W112" s="64">
        <v>5</v>
      </c>
    </row>
    <row r="113" spans="1:23" ht="12" customHeight="1">
      <c r="A113" s="63">
        <v>111</v>
      </c>
      <c r="B113" s="63">
        <v>23</v>
      </c>
      <c r="C113" s="63">
        <v>8</v>
      </c>
      <c r="D113" s="63">
        <v>1</v>
      </c>
      <c r="E113" s="63">
        <v>1</v>
      </c>
      <c r="G113" s="63">
        <v>111</v>
      </c>
      <c r="H113" s="63">
        <v>23</v>
      </c>
      <c r="I113" s="63">
        <v>8</v>
      </c>
      <c r="J113" s="63">
        <v>4</v>
      </c>
      <c r="K113" s="63">
        <v>1</v>
      </c>
      <c r="M113" s="63">
        <v>111</v>
      </c>
      <c r="N113" s="63">
        <v>23</v>
      </c>
      <c r="O113" s="63">
        <v>6</v>
      </c>
      <c r="P113" s="63">
        <v>8</v>
      </c>
      <c r="Q113" s="63">
        <v>1</v>
      </c>
      <c r="S113" s="63">
        <v>111</v>
      </c>
      <c r="T113" s="63">
        <f t="shared" si="3"/>
        <v>23</v>
      </c>
      <c r="U113" s="63">
        <f t="shared" si="2"/>
        <v>0</v>
      </c>
      <c r="V113" s="63">
        <f>VLOOKUP(T113,$AA$2:$AC$68,3,FALSE)</f>
        <v>0</v>
      </c>
      <c r="W113" s="63">
        <v>1</v>
      </c>
    </row>
    <row r="114" spans="1:23" ht="12" customHeight="1">
      <c r="A114" s="63">
        <v>112</v>
      </c>
      <c r="B114" s="63">
        <v>23</v>
      </c>
      <c r="C114" s="63">
        <v>8</v>
      </c>
      <c r="D114" s="63">
        <v>1</v>
      </c>
      <c r="E114" s="63">
        <v>2</v>
      </c>
      <c r="G114" s="63">
        <v>112</v>
      </c>
      <c r="H114" s="63">
        <v>23</v>
      </c>
      <c r="I114" s="63">
        <v>8</v>
      </c>
      <c r="J114" s="63">
        <v>4</v>
      </c>
      <c r="K114" s="63">
        <v>2</v>
      </c>
      <c r="M114" s="63">
        <v>112</v>
      </c>
      <c r="N114" s="63">
        <v>23</v>
      </c>
      <c r="O114" s="63">
        <v>6</v>
      </c>
      <c r="P114" s="63">
        <v>8</v>
      </c>
      <c r="Q114" s="63">
        <v>2</v>
      </c>
      <c r="S114" s="63">
        <v>112</v>
      </c>
      <c r="T114" s="63">
        <f t="shared" si="3"/>
        <v>23</v>
      </c>
      <c r="U114" s="63">
        <f t="shared" si="2"/>
        <v>0</v>
      </c>
      <c r="V114" s="63">
        <f>VLOOKUP(T114,$AA$2:$AC$68,3,FALSE)</f>
        <v>0</v>
      </c>
      <c r="W114" s="63">
        <v>2</v>
      </c>
    </row>
    <row r="115" spans="1:23" ht="12" customHeight="1">
      <c r="A115" s="63">
        <v>113</v>
      </c>
      <c r="B115" s="63">
        <v>23</v>
      </c>
      <c r="C115" s="63">
        <v>8</v>
      </c>
      <c r="D115" s="63">
        <v>1</v>
      </c>
      <c r="E115" s="63">
        <v>3</v>
      </c>
      <c r="G115" s="63">
        <v>113</v>
      </c>
      <c r="H115" s="63">
        <v>23</v>
      </c>
      <c r="I115" s="63">
        <v>8</v>
      </c>
      <c r="J115" s="63">
        <v>4</v>
      </c>
      <c r="K115" s="63">
        <v>3</v>
      </c>
      <c r="M115" s="63">
        <v>113</v>
      </c>
      <c r="N115" s="63">
        <v>23</v>
      </c>
      <c r="O115" s="63">
        <v>6</v>
      </c>
      <c r="P115" s="63">
        <v>8</v>
      </c>
      <c r="Q115" s="63">
        <v>3</v>
      </c>
      <c r="S115" s="63">
        <v>113</v>
      </c>
      <c r="T115" s="63">
        <f t="shared" si="3"/>
        <v>23</v>
      </c>
      <c r="U115" s="63">
        <f t="shared" si="2"/>
        <v>0</v>
      </c>
      <c r="V115" s="63">
        <f>VLOOKUP(T115,$AA$2:$AC$68,3,FALSE)</f>
        <v>0</v>
      </c>
      <c r="W115" s="63">
        <v>3</v>
      </c>
    </row>
    <row r="116" spans="1:23" ht="12" customHeight="1">
      <c r="A116" s="63">
        <v>114</v>
      </c>
      <c r="B116" s="63">
        <v>23</v>
      </c>
      <c r="C116" s="63">
        <v>8</v>
      </c>
      <c r="D116" s="63">
        <v>1</v>
      </c>
      <c r="E116" s="63">
        <v>4</v>
      </c>
      <c r="G116" s="63">
        <v>114</v>
      </c>
      <c r="H116" s="63">
        <v>23</v>
      </c>
      <c r="I116" s="63">
        <v>8</v>
      </c>
      <c r="J116" s="63">
        <v>4</v>
      </c>
      <c r="K116" s="63">
        <v>4</v>
      </c>
      <c r="M116" s="63">
        <v>114</v>
      </c>
      <c r="N116" s="63">
        <v>23</v>
      </c>
      <c r="O116" s="63">
        <v>6</v>
      </c>
      <c r="P116" s="63">
        <v>8</v>
      </c>
      <c r="Q116" s="63">
        <v>4</v>
      </c>
      <c r="S116" s="63">
        <v>114</v>
      </c>
      <c r="T116" s="63">
        <f t="shared" si="3"/>
        <v>23</v>
      </c>
      <c r="U116" s="63">
        <f t="shared" si="2"/>
        <v>0</v>
      </c>
      <c r="V116" s="63">
        <f>VLOOKUP(T116,$AA$2:$AC$68,3,FALSE)</f>
        <v>0</v>
      </c>
      <c r="W116" s="63">
        <v>4</v>
      </c>
    </row>
    <row r="117" spans="1:23" ht="12" customHeight="1">
      <c r="A117" s="63">
        <v>115</v>
      </c>
      <c r="B117" s="63">
        <v>23</v>
      </c>
      <c r="C117" s="63">
        <v>8</v>
      </c>
      <c r="D117" s="63">
        <v>1</v>
      </c>
      <c r="E117" s="63">
        <v>5</v>
      </c>
      <c r="G117" s="63">
        <v>115</v>
      </c>
      <c r="H117" s="63">
        <v>23</v>
      </c>
      <c r="I117" s="63">
        <v>8</v>
      </c>
      <c r="J117" s="63">
        <v>4</v>
      </c>
      <c r="K117" s="63">
        <v>5</v>
      </c>
      <c r="M117" s="63">
        <v>115</v>
      </c>
      <c r="N117" s="63">
        <v>23</v>
      </c>
      <c r="O117" s="63">
        <v>6</v>
      </c>
      <c r="P117" s="63">
        <v>8</v>
      </c>
      <c r="Q117" s="63">
        <v>5</v>
      </c>
      <c r="S117" s="63">
        <v>115</v>
      </c>
      <c r="T117" s="63">
        <f t="shared" si="3"/>
        <v>23</v>
      </c>
      <c r="U117" s="63">
        <f t="shared" si="2"/>
        <v>0</v>
      </c>
      <c r="V117" s="63">
        <f>VLOOKUP(T117,$AA$2:$AC$68,3,FALSE)</f>
        <v>0</v>
      </c>
      <c r="W117" s="63">
        <v>5</v>
      </c>
    </row>
    <row r="118" spans="1:23" ht="12" customHeight="1">
      <c r="A118" s="64">
        <v>116</v>
      </c>
      <c r="B118" s="64">
        <v>24</v>
      </c>
      <c r="C118" s="64">
        <v>6</v>
      </c>
      <c r="D118" s="64">
        <v>9</v>
      </c>
      <c r="E118" s="64">
        <v>1</v>
      </c>
      <c r="G118" s="64">
        <v>116</v>
      </c>
      <c r="H118" s="64">
        <v>24</v>
      </c>
      <c r="I118" s="64">
        <v>7</v>
      </c>
      <c r="J118" s="64">
        <v>5</v>
      </c>
      <c r="K118" s="64">
        <v>1</v>
      </c>
      <c r="M118" s="64">
        <v>116</v>
      </c>
      <c r="N118" s="64">
        <v>24</v>
      </c>
      <c r="O118" s="64">
        <v>4</v>
      </c>
      <c r="P118" s="64">
        <v>10</v>
      </c>
      <c r="Q118" s="64">
        <v>1</v>
      </c>
      <c r="S118" s="64">
        <v>116</v>
      </c>
      <c r="T118" s="64">
        <f t="shared" si="3"/>
        <v>24</v>
      </c>
      <c r="U118" s="64">
        <f t="shared" si="2"/>
        <v>0</v>
      </c>
      <c r="V118" s="64">
        <f>VLOOKUP(T118,$AA$3:$AC$68,3,FALSE)</f>
        <v>0</v>
      </c>
      <c r="W118" s="64">
        <v>1</v>
      </c>
    </row>
    <row r="119" spans="1:23" ht="12" customHeight="1">
      <c r="A119" s="64">
        <v>117</v>
      </c>
      <c r="B119" s="64">
        <v>24</v>
      </c>
      <c r="C119" s="64">
        <v>6</v>
      </c>
      <c r="D119" s="64">
        <v>9</v>
      </c>
      <c r="E119" s="64">
        <v>2</v>
      </c>
      <c r="G119" s="64">
        <v>117</v>
      </c>
      <c r="H119" s="64">
        <v>24</v>
      </c>
      <c r="I119" s="64">
        <v>7</v>
      </c>
      <c r="J119" s="64">
        <v>5</v>
      </c>
      <c r="K119" s="64">
        <v>2</v>
      </c>
      <c r="M119" s="64">
        <v>117</v>
      </c>
      <c r="N119" s="64">
        <v>24</v>
      </c>
      <c r="O119" s="64">
        <v>4</v>
      </c>
      <c r="P119" s="64">
        <v>10</v>
      </c>
      <c r="Q119" s="64">
        <v>2</v>
      </c>
      <c r="S119" s="64">
        <v>117</v>
      </c>
      <c r="T119" s="64">
        <f t="shared" si="3"/>
        <v>24</v>
      </c>
      <c r="U119" s="64">
        <f t="shared" si="2"/>
        <v>0</v>
      </c>
      <c r="V119" s="64">
        <f>VLOOKUP(T119,$AA$3:$AC$68,3,FALSE)</f>
        <v>0</v>
      </c>
      <c r="W119" s="64">
        <v>2</v>
      </c>
    </row>
    <row r="120" spans="1:23" ht="12" customHeight="1">
      <c r="A120" s="64">
        <v>118</v>
      </c>
      <c r="B120" s="64">
        <v>24</v>
      </c>
      <c r="C120" s="64">
        <v>6</v>
      </c>
      <c r="D120" s="64">
        <v>9</v>
      </c>
      <c r="E120" s="64">
        <v>3</v>
      </c>
      <c r="G120" s="64">
        <v>118</v>
      </c>
      <c r="H120" s="64">
        <v>24</v>
      </c>
      <c r="I120" s="64">
        <v>7</v>
      </c>
      <c r="J120" s="64">
        <v>5</v>
      </c>
      <c r="K120" s="64">
        <v>3</v>
      </c>
      <c r="M120" s="64">
        <v>118</v>
      </c>
      <c r="N120" s="64">
        <v>24</v>
      </c>
      <c r="O120" s="64">
        <v>4</v>
      </c>
      <c r="P120" s="64">
        <v>10</v>
      </c>
      <c r="Q120" s="64">
        <v>3</v>
      </c>
      <c r="S120" s="64">
        <v>118</v>
      </c>
      <c r="T120" s="64">
        <f t="shared" si="3"/>
        <v>24</v>
      </c>
      <c r="U120" s="64">
        <f t="shared" si="2"/>
        <v>0</v>
      </c>
      <c r="V120" s="64">
        <f>VLOOKUP(T120,$AA$3:$AC$68,3,FALSE)</f>
        <v>0</v>
      </c>
      <c r="W120" s="64">
        <v>3</v>
      </c>
    </row>
    <row r="121" spans="1:23" ht="12" customHeight="1">
      <c r="A121" s="64">
        <v>119</v>
      </c>
      <c r="B121" s="64">
        <v>24</v>
      </c>
      <c r="C121" s="64">
        <v>6</v>
      </c>
      <c r="D121" s="64">
        <v>9</v>
      </c>
      <c r="E121" s="64">
        <v>4</v>
      </c>
      <c r="G121" s="64">
        <v>119</v>
      </c>
      <c r="H121" s="64">
        <v>24</v>
      </c>
      <c r="I121" s="64">
        <v>7</v>
      </c>
      <c r="J121" s="64">
        <v>5</v>
      </c>
      <c r="K121" s="64">
        <v>4</v>
      </c>
      <c r="M121" s="64">
        <v>119</v>
      </c>
      <c r="N121" s="64">
        <v>24</v>
      </c>
      <c r="O121" s="64">
        <v>4</v>
      </c>
      <c r="P121" s="64">
        <v>10</v>
      </c>
      <c r="Q121" s="64">
        <v>4</v>
      </c>
      <c r="S121" s="64">
        <v>119</v>
      </c>
      <c r="T121" s="64">
        <f t="shared" si="3"/>
        <v>24</v>
      </c>
      <c r="U121" s="64">
        <f t="shared" si="2"/>
        <v>0</v>
      </c>
      <c r="V121" s="64">
        <f>VLOOKUP(T121,$AA$3:$AC$68,3,FALSE)</f>
        <v>0</v>
      </c>
      <c r="W121" s="64">
        <v>4</v>
      </c>
    </row>
    <row r="122" spans="1:23" ht="12" customHeight="1">
      <c r="A122" s="64">
        <v>120</v>
      </c>
      <c r="B122" s="64">
        <v>24</v>
      </c>
      <c r="C122" s="64">
        <v>6</v>
      </c>
      <c r="D122" s="64">
        <v>9</v>
      </c>
      <c r="E122" s="64">
        <v>5</v>
      </c>
      <c r="G122" s="64">
        <v>120</v>
      </c>
      <c r="H122" s="64">
        <v>24</v>
      </c>
      <c r="I122" s="64">
        <v>7</v>
      </c>
      <c r="J122" s="64">
        <v>5</v>
      </c>
      <c r="K122" s="64">
        <v>5</v>
      </c>
      <c r="M122" s="64">
        <v>120</v>
      </c>
      <c r="N122" s="64">
        <v>24</v>
      </c>
      <c r="O122" s="64">
        <v>4</v>
      </c>
      <c r="P122" s="64">
        <v>10</v>
      </c>
      <c r="Q122" s="64">
        <v>5</v>
      </c>
      <c r="S122" s="64">
        <v>120</v>
      </c>
      <c r="T122" s="64">
        <f t="shared" si="3"/>
        <v>24</v>
      </c>
      <c r="U122" s="64">
        <f t="shared" si="2"/>
        <v>0</v>
      </c>
      <c r="V122" s="64">
        <f>VLOOKUP(T122,$AA$3:$AC$68,3,FALSE)</f>
        <v>0</v>
      </c>
      <c r="W122" s="64">
        <v>5</v>
      </c>
    </row>
    <row r="123" spans="1:23" ht="12" customHeight="1">
      <c r="A123" s="63">
        <v>121</v>
      </c>
      <c r="B123" s="63">
        <v>25</v>
      </c>
      <c r="C123" s="63">
        <v>4</v>
      </c>
      <c r="D123" s="63">
        <v>7</v>
      </c>
      <c r="E123" s="63">
        <v>1</v>
      </c>
      <c r="G123" s="63">
        <v>121</v>
      </c>
      <c r="H123" s="63">
        <v>25</v>
      </c>
      <c r="I123" s="63">
        <v>1</v>
      </c>
      <c r="J123" s="63">
        <v>6</v>
      </c>
      <c r="K123" s="63">
        <v>1</v>
      </c>
      <c r="M123" s="63">
        <v>121</v>
      </c>
      <c r="N123" s="63">
        <v>25</v>
      </c>
      <c r="O123" s="63">
        <v>2</v>
      </c>
      <c r="P123" s="63">
        <v>11</v>
      </c>
      <c r="Q123" s="63">
        <v>1</v>
      </c>
      <c r="S123" s="63">
        <v>121</v>
      </c>
      <c r="T123" s="63">
        <f t="shared" si="3"/>
        <v>25</v>
      </c>
      <c r="U123" s="63">
        <f t="shared" si="2"/>
        <v>0</v>
      </c>
      <c r="V123" s="63">
        <f>VLOOKUP(T123,$AA$2:$AC$68,3,FALSE)</f>
        <v>0</v>
      </c>
      <c r="W123" s="63">
        <v>1</v>
      </c>
    </row>
    <row r="124" spans="1:23" ht="12" customHeight="1">
      <c r="A124" s="63">
        <v>122</v>
      </c>
      <c r="B124" s="63">
        <v>25</v>
      </c>
      <c r="C124" s="63">
        <v>4</v>
      </c>
      <c r="D124" s="63">
        <v>7</v>
      </c>
      <c r="E124" s="63">
        <v>2</v>
      </c>
      <c r="G124" s="63">
        <v>122</v>
      </c>
      <c r="H124" s="63">
        <v>25</v>
      </c>
      <c r="I124" s="63">
        <v>1</v>
      </c>
      <c r="J124" s="63">
        <v>6</v>
      </c>
      <c r="K124" s="63">
        <v>2</v>
      </c>
      <c r="M124" s="63">
        <v>122</v>
      </c>
      <c r="N124" s="63">
        <v>25</v>
      </c>
      <c r="O124" s="63">
        <v>2</v>
      </c>
      <c r="P124" s="63">
        <v>11</v>
      </c>
      <c r="Q124" s="63">
        <v>2</v>
      </c>
      <c r="S124" s="63">
        <v>122</v>
      </c>
      <c r="T124" s="63">
        <f t="shared" si="3"/>
        <v>25</v>
      </c>
      <c r="U124" s="63">
        <f t="shared" si="2"/>
        <v>0</v>
      </c>
      <c r="V124" s="63">
        <f>VLOOKUP(T124,$AA$2:$AC$68,3,FALSE)</f>
        <v>0</v>
      </c>
      <c r="W124" s="63">
        <v>2</v>
      </c>
    </row>
    <row r="125" spans="1:23" ht="12" customHeight="1">
      <c r="A125" s="63">
        <v>123</v>
      </c>
      <c r="B125" s="63">
        <v>25</v>
      </c>
      <c r="C125" s="63">
        <v>4</v>
      </c>
      <c r="D125" s="63">
        <v>7</v>
      </c>
      <c r="E125" s="63">
        <v>3</v>
      </c>
      <c r="G125" s="63">
        <v>123</v>
      </c>
      <c r="H125" s="63">
        <v>25</v>
      </c>
      <c r="I125" s="63">
        <v>1</v>
      </c>
      <c r="J125" s="63">
        <v>6</v>
      </c>
      <c r="K125" s="63">
        <v>3</v>
      </c>
      <c r="M125" s="63">
        <v>123</v>
      </c>
      <c r="N125" s="63">
        <v>25</v>
      </c>
      <c r="O125" s="63">
        <v>2</v>
      </c>
      <c r="P125" s="63">
        <v>11</v>
      </c>
      <c r="Q125" s="63">
        <v>3</v>
      </c>
      <c r="S125" s="63">
        <v>123</v>
      </c>
      <c r="T125" s="63">
        <f t="shared" si="3"/>
        <v>25</v>
      </c>
      <c r="U125" s="63">
        <f t="shared" si="2"/>
        <v>0</v>
      </c>
      <c r="V125" s="63">
        <f>VLOOKUP(T125,$AA$2:$AC$68,3,FALSE)</f>
        <v>0</v>
      </c>
      <c r="W125" s="63">
        <v>3</v>
      </c>
    </row>
    <row r="126" spans="1:23" ht="12" customHeight="1">
      <c r="A126" s="63">
        <v>124</v>
      </c>
      <c r="B126" s="63">
        <v>25</v>
      </c>
      <c r="C126" s="63">
        <v>4</v>
      </c>
      <c r="D126" s="63">
        <v>7</v>
      </c>
      <c r="E126" s="63">
        <v>4</v>
      </c>
      <c r="G126" s="63">
        <v>124</v>
      </c>
      <c r="H126" s="63">
        <v>25</v>
      </c>
      <c r="I126" s="63">
        <v>1</v>
      </c>
      <c r="J126" s="63">
        <v>6</v>
      </c>
      <c r="K126" s="63">
        <v>4</v>
      </c>
      <c r="M126" s="63">
        <v>124</v>
      </c>
      <c r="N126" s="63">
        <v>25</v>
      </c>
      <c r="O126" s="63">
        <v>2</v>
      </c>
      <c r="P126" s="63">
        <v>11</v>
      </c>
      <c r="Q126" s="63">
        <v>4</v>
      </c>
      <c r="S126" s="63">
        <v>124</v>
      </c>
      <c r="T126" s="63">
        <f t="shared" si="3"/>
        <v>25</v>
      </c>
      <c r="U126" s="63">
        <f t="shared" si="2"/>
        <v>0</v>
      </c>
      <c r="V126" s="63">
        <f>VLOOKUP(T126,$AA$2:$AC$68,3,FALSE)</f>
        <v>0</v>
      </c>
      <c r="W126" s="63">
        <v>4</v>
      </c>
    </row>
    <row r="127" spans="1:23" ht="12" customHeight="1">
      <c r="A127" s="63">
        <v>125</v>
      </c>
      <c r="B127" s="63">
        <v>25</v>
      </c>
      <c r="C127" s="63">
        <v>4</v>
      </c>
      <c r="D127" s="63">
        <v>7</v>
      </c>
      <c r="E127" s="63">
        <v>5</v>
      </c>
      <c r="G127" s="63">
        <v>125</v>
      </c>
      <c r="H127" s="63">
        <v>25</v>
      </c>
      <c r="I127" s="63">
        <v>1</v>
      </c>
      <c r="J127" s="63">
        <v>6</v>
      </c>
      <c r="K127" s="63">
        <v>5</v>
      </c>
      <c r="M127" s="63">
        <v>125</v>
      </c>
      <c r="N127" s="63">
        <v>25</v>
      </c>
      <c r="O127" s="63">
        <v>2</v>
      </c>
      <c r="P127" s="63">
        <v>11</v>
      </c>
      <c r="Q127" s="63">
        <v>5</v>
      </c>
      <c r="S127" s="63">
        <v>125</v>
      </c>
      <c r="T127" s="63">
        <f t="shared" si="3"/>
        <v>25</v>
      </c>
      <c r="U127" s="63">
        <f t="shared" si="2"/>
        <v>0</v>
      </c>
      <c r="V127" s="63">
        <f>VLOOKUP(T127,$AA$2:$AC$68,3,FALSE)</f>
        <v>0</v>
      </c>
      <c r="W127" s="63">
        <v>5</v>
      </c>
    </row>
    <row r="128" spans="1:23" ht="12" customHeight="1">
      <c r="A128" s="64">
        <v>126</v>
      </c>
      <c r="B128" s="64">
        <v>26</v>
      </c>
      <c r="C128" s="64">
        <v>2</v>
      </c>
      <c r="D128" s="64">
        <v>5</v>
      </c>
      <c r="E128" s="64">
        <v>1</v>
      </c>
      <c r="G128" s="64">
        <v>126</v>
      </c>
      <c r="H128" s="64">
        <v>26</v>
      </c>
      <c r="I128" s="64">
        <v>9</v>
      </c>
      <c r="J128" s="64">
        <v>10</v>
      </c>
      <c r="K128" s="64">
        <v>1</v>
      </c>
      <c r="M128" s="64">
        <v>126</v>
      </c>
      <c r="N128" s="64">
        <v>26</v>
      </c>
      <c r="O128" s="64">
        <v>3</v>
      </c>
      <c r="P128" s="64">
        <v>9</v>
      </c>
      <c r="Q128" s="64">
        <v>1</v>
      </c>
      <c r="S128" s="64">
        <v>126</v>
      </c>
      <c r="T128" s="64">
        <f t="shared" si="3"/>
        <v>26</v>
      </c>
      <c r="U128" s="64">
        <f t="shared" si="2"/>
        <v>0</v>
      </c>
      <c r="V128" s="64">
        <f>VLOOKUP(T128,$AA$3:$AC$68,3,FALSE)</f>
        <v>0</v>
      </c>
      <c r="W128" s="64">
        <v>1</v>
      </c>
    </row>
    <row r="129" spans="1:23" ht="12" customHeight="1">
      <c r="A129" s="64">
        <v>127</v>
      </c>
      <c r="B129" s="64">
        <v>26</v>
      </c>
      <c r="C129" s="64">
        <v>2</v>
      </c>
      <c r="D129" s="64">
        <v>5</v>
      </c>
      <c r="E129" s="64">
        <v>2</v>
      </c>
      <c r="G129" s="64">
        <v>127</v>
      </c>
      <c r="H129" s="64">
        <v>26</v>
      </c>
      <c r="I129" s="64">
        <v>9</v>
      </c>
      <c r="J129" s="64">
        <v>10</v>
      </c>
      <c r="K129" s="64">
        <v>2</v>
      </c>
      <c r="M129" s="64">
        <v>127</v>
      </c>
      <c r="N129" s="64">
        <v>26</v>
      </c>
      <c r="O129" s="64">
        <v>3</v>
      </c>
      <c r="P129" s="64">
        <v>9</v>
      </c>
      <c r="Q129" s="64">
        <v>2</v>
      </c>
      <c r="S129" s="64">
        <v>127</v>
      </c>
      <c r="T129" s="64">
        <f t="shared" si="3"/>
        <v>26</v>
      </c>
      <c r="U129" s="64">
        <f t="shared" si="2"/>
        <v>0</v>
      </c>
      <c r="V129" s="64">
        <f>VLOOKUP(T129,$AA$3:$AC$68,3,FALSE)</f>
        <v>0</v>
      </c>
      <c r="W129" s="64">
        <v>2</v>
      </c>
    </row>
    <row r="130" spans="1:23" ht="12" customHeight="1">
      <c r="A130" s="64">
        <v>128</v>
      </c>
      <c r="B130" s="64">
        <v>26</v>
      </c>
      <c r="C130" s="64">
        <v>2</v>
      </c>
      <c r="D130" s="64">
        <v>5</v>
      </c>
      <c r="E130" s="64">
        <v>3</v>
      </c>
      <c r="G130" s="64">
        <v>128</v>
      </c>
      <c r="H130" s="64">
        <v>26</v>
      </c>
      <c r="I130" s="64">
        <v>9</v>
      </c>
      <c r="J130" s="64">
        <v>10</v>
      </c>
      <c r="K130" s="64">
        <v>3</v>
      </c>
      <c r="M130" s="64">
        <v>128</v>
      </c>
      <c r="N130" s="64">
        <v>26</v>
      </c>
      <c r="O130" s="64">
        <v>3</v>
      </c>
      <c r="P130" s="64">
        <v>9</v>
      </c>
      <c r="Q130" s="64">
        <v>3</v>
      </c>
      <c r="S130" s="64">
        <v>128</v>
      </c>
      <c r="T130" s="64">
        <f t="shared" si="3"/>
        <v>26</v>
      </c>
      <c r="U130" s="64">
        <f t="shared" si="2"/>
        <v>0</v>
      </c>
      <c r="V130" s="64">
        <f>VLOOKUP(T130,$AA$3:$AC$68,3,FALSE)</f>
        <v>0</v>
      </c>
      <c r="W130" s="64">
        <v>3</v>
      </c>
    </row>
    <row r="131" spans="1:23" ht="12" customHeight="1">
      <c r="A131" s="64">
        <v>129</v>
      </c>
      <c r="B131" s="64">
        <v>26</v>
      </c>
      <c r="C131" s="64">
        <v>2</v>
      </c>
      <c r="D131" s="64">
        <v>5</v>
      </c>
      <c r="E131" s="64">
        <v>4</v>
      </c>
      <c r="G131" s="64">
        <v>129</v>
      </c>
      <c r="H131" s="64">
        <v>26</v>
      </c>
      <c r="I131" s="64">
        <v>9</v>
      </c>
      <c r="J131" s="64">
        <v>10</v>
      </c>
      <c r="K131" s="64">
        <v>4</v>
      </c>
      <c r="M131" s="64">
        <v>129</v>
      </c>
      <c r="N131" s="64">
        <v>26</v>
      </c>
      <c r="O131" s="64">
        <v>3</v>
      </c>
      <c r="P131" s="64">
        <v>9</v>
      </c>
      <c r="Q131" s="64">
        <v>4</v>
      </c>
      <c r="S131" s="64">
        <v>129</v>
      </c>
      <c r="T131" s="64">
        <f t="shared" si="3"/>
        <v>26</v>
      </c>
      <c r="U131" s="64">
        <f aca="true" t="shared" si="4" ref="U131:U194">VLOOKUP(T131,$AA$3:$AC$68,2,FALSE)</f>
        <v>0</v>
      </c>
      <c r="V131" s="64">
        <f>VLOOKUP(T131,$AA$3:$AC$68,3,FALSE)</f>
        <v>0</v>
      </c>
      <c r="W131" s="64">
        <v>4</v>
      </c>
    </row>
    <row r="132" spans="1:23" ht="12" customHeight="1">
      <c r="A132" s="64">
        <v>130</v>
      </c>
      <c r="B132" s="64">
        <v>26</v>
      </c>
      <c r="C132" s="64">
        <v>2</v>
      </c>
      <c r="D132" s="64">
        <v>5</v>
      </c>
      <c r="E132" s="64">
        <v>5</v>
      </c>
      <c r="G132" s="64">
        <v>130</v>
      </c>
      <c r="H132" s="64">
        <v>26</v>
      </c>
      <c r="I132" s="64">
        <v>9</v>
      </c>
      <c r="J132" s="64">
        <v>10</v>
      </c>
      <c r="K132" s="64">
        <v>5</v>
      </c>
      <c r="M132" s="64">
        <v>130</v>
      </c>
      <c r="N132" s="64">
        <v>26</v>
      </c>
      <c r="O132" s="64">
        <v>3</v>
      </c>
      <c r="P132" s="64">
        <v>9</v>
      </c>
      <c r="Q132" s="64">
        <v>5</v>
      </c>
      <c r="S132" s="64">
        <v>130</v>
      </c>
      <c r="T132" s="64">
        <f t="shared" si="3"/>
        <v>26</v>
      </c>
      <c r="U132" s="64">
        <f t="shared" si="4"/>
        <v>0</v>
      </c>
      <c r="V132" s="64">
        <f>VLOOKUP(T132,$AA$3:$AC$68,3,FALSE)</f>
        <v>0</v>
      </c>
      <c r="W132" s="64">
        <v>5</v>
      </c>
    </row>
    <row r="133" spans="1:23" ht="12" customHeight="1">
      <c r="A133" s="63">
        <v>131</v>
      </c>
      <c r="B133" s="63">
        <v>27</v>
      </c>
      <c r="C133" s="63">
        <v>1</v>
      </c>
      <c r="D133" s="63">
        <v>3</v>
      </c>
      <c r="E133" s="63">
        <v>1</v>
      </c>
      <c r="G133" s="63">
        <v>131</v>
      </c>
      <c r="H133" s="63">
        <v>27</v>
      </c>
      <c r="I133" s="63">
        <v>8</v>
      </c>
      <c r="J133" s="63">
        <v>2</v>
      </c>
      <c r="K133" s="63">
        <v>1</v>
      </c>
      <c r="M133" s="63">
        <v>131</v>
      </c>
      <c r="N133" s="63">
        <v>27</v>
      </c>
      <c r="O133" s="63">
        <v>5</v>
      </c>
      <c r="P133" s="63">
        <v>7</v>
      </c>
      <c r="Q133" s="63">
        <v>1</v>
      </c>
      <c r="S133" s="63">
        <v>131</v>
      </c>
      <c r="T133" s="63">
        <f t="shared" si="3"/>
        <v>27</v>
      </c>
      <c r="U133" s="63">
        <f t="shared" si="4"/>
        <v>0</v>
      </c>
      <c r="V133" s="63">
        <f>VLOOKUP(T133,$AA$2:$AC$68,3,FALSE)</f>
        <v>0</v>
      </c>
      <c r="W133" s="63">
        <v>1</v>
      </c>
    </row>
    <row r="134" spans="1:23" ht="12" customHeight="1">
      <c r="A134" s="63">
        <v>132</v>
      </c>
      <c r="B134" s="63">
        <v>27</v>
      </c>
      <c r="C134" s="63">
        <v>1</v>
      </c>
      <c r="D134" s="63">
        <v>3</v>
      </c>
      <c r="E134" s="63">
        <v>2</v>
      </c>
      <c r="G134" s="63">
        <v>132</v>
      </c>
      <c r="H134" s="63">
        <v>27</v>
      </c>
      <c r="I134" s="63">
        <v>8</v>
      </c>
      <c r="J134" s="63">
        <v>2</v>
      </c>
      <c r="K134" s="63">
        <v>2</v>
      </c>
      <c r="M134" s="63">
        <v>132</v>
      </c>
      <c r="N134" s="63">
        <v>27</v>
      </c>
      <c r="O134" s="63">
        <v>5</v>
      </c>
      <c r="P134" s="63">
        <v>7</v>
      </c>
      <c r="Q134" s="63">
        <v>2</v>
      </c>
      <c r="S134" s="63">
        <v>132</v>
      </c>
      <c r="T134" s="63">
        <f t="shared" si="3"/>
        <v>27</v>
      </c>
      <c r="U134" s="63">
        <f t="shared" si="4"/>
        <v>0</v>
      </c>
      <c r="V134" s="63">
        <f>VLOOKUP(T134,$AA$2:$AC$68,3,FALSE)</f>
        <v>0</v>
      </c>
      <c r="W134" s="63">
        <v>2</v>
      </c>
    </row>
    <row r="135" spans="1:23" ht="12" customHeight="1">
      <c r="A135" s="63">
        <v>133</v>
      </c>
      <c r="B135" s="63">
        <v>27</v>
      </c>
      <c r="C135" s="63">
        <v>1</v>
      </c>
      <c r="D135" s="63">
        <v>3</v>
      </c>
      <c r="E135" s="63">
        <v>3</v>
      </c>
      <c r="G135" s="63">
        <v>133</v>
      </c>
      <c r="H135" s="63">
        <v>27</v>
      </c>
      <c r="I135" s="63">
        <v>8</v>
      </c>
      <c r="J135" s="63">
        <v>2</v>
      </c>
      <c r="K135" s="63">
        <v>3</v>
      </c>
      <c r="M135" s="63">
        <v>133</v>
      </c>
      <c r="N135" s="63">
        <v>27</v>
      </c>
      <c r="O135" s="63">
        <v>5</v>
      </c>
      <c r="P135" s="63">
        <v>7</v>
      </c>
      <c r="Q135" s="63">
        <v>3</v>
      </c>
      <c r="S135" s="63">
        <v>133</v>
      </c>
      <c r="T135" s="63">
        <f t="shared" si="3"/>
        <v>27</v>
      </c>
      <c r="U135" s="63">
        <f t="shared" si="4"/>
        <v>0</v>
      </c>
      <c r="V135" s="63">
        <f>VLOOKUP(T135,$AA$2:$AC$68,3,FALSE)</f>
        <v>0</v>
      </c>
      <c r="W135" s="63">
        <v>3</v>
      </c>
    </row>
    <row r="136" spans="1:23" ht="12" customHeight="1">
      <c r="A136" s="63">
        <v>134</v>
      </c>
      <c r="B136" s="63">
        <v>27</v>
      </c>
      <c r="C136" s="63">
        <v>1</v>
      </c>
      <c r="D136" s="63">
        <v>3</v>
      </c>
      <c r="E136" s="63">
        <v>4</v>
      </c>
      <c r="G136" s="63">
        <v>134</v>
      </c>
      <c r="H136" s="63">
        <v>27</v>
      </c>
      <c r="I136" s="63">
        <v>8</v>
      </c>
      <c r="J136" s="63">
        <v>2</v>
      </c>
      <c r="K136" s="63">
        <v>4</v>
      </c>
      <c r="M136" s="63">
        <v>134</v>
      </c>
      <c r="N136" s="63">
        <v>27</v>
      </c>
      <c r="O136" s="63">
        <v>5</v>
      </c>
      <c r="P136" s="63">
        <v>7</v>
      </c>
      <c r="Q136" s="63">
        <v>4</v>
      </c>
      <c r="S136" s="63">
        <v>134</v>
      </c>
      <c r="T136" s="63">
        <f aca="true" t="shared" si="5" ref="T136:T199">T131+1</f>
        <v>27</v>
      </c>
      <c r="U136" s="63">
        <f t="shared" si="4"/>
        <v>0</v>
      </c>
      <c r="V136" s="63">
        <f>VLOOKUP(T136,$AA$2:$AC$68,3,FALSE)</f>
        <v>0</v>
      </c>
      <c r="W136" s="63">
        <v>4</v>
      </c>
    </row>
    <row r="137" spans="1:23" ht="12" customHeight="1">
      <c r="A137" s="63">
        <v>135</v>
      </c>
      <c r="B137" s="63">
        <v>27</v>
      </c>
      <c r="C137" s="63">
        <v>1</v>
      </c>
      <c r="D137" s="63">
        <v>3</v>
      </c>
      <c r="E137" s="63">
        <v>5</v>
      </c>
      <c r="G137" s="63">
        <v>135</v>
      </c>
      <c r="H137" s="63">
        <v>27</v>
      </c>
      <c r="I137" s="63">
        <v>8</v>
      </c>
      <c r="J137" s="63">
        <v>2</v>
      </c>
      <c r="K137" s="63">
        <v>5</v>
      </c>
      <c r="M137" s="63">
        <v>135</v>
      </c>
      <c r="N137" s="63">
        <v>27</v>
      </c>
      <c r="O137" s="63">
        <v>5</v>
      </c>
      <c r="P137" s="63">
        <v>7</v>
      </c>
      <c r="Q137" s="63">
        <v>5</v>
      </c>
      <c r="S137" s="63">
        <v>135</v>
      </c>
      <c r="T137" s="63">
        <f t="shared" si="5"/>
        <v>27</v>
      </c>
      <c r="U137" s="63">
        <f t="shared" si="4"/>
        <v>0</v>
      </c>
      <c r="V137" s="63">
        <f>VLOOKUP(T137,$AA$2:$AC$68,3,FALSE)</f>
        <v>0</v>
      </c>
      <c r="W137" s="63">
        <v>5</v>
      </c>
    </row>
    <row r="138" spans="1:23" ht="12" customHeight="1">
      <c r="A138" s="64">
        <v>136</v>
      </c>
      <c r="B138" s="64">
        <v>28</v>
      </c>
      <c r="C138" s="64">
        <v>8</v>
      </c>
      <c r="D138" s="64">
        <v>9</v>
      </c>
      <c r="E138" s="64">
        <v>1</v>
      </c>
      <c r="G138" s="64">
        <v>136</v>
      </c>
      <c r="H138" s="64">
        <v>28</v>
      </c>
      <c r="I138" s="64">
        <v>7</v>
      </c>
      <c r="J138" s="64">
        <v>3</v>
      </c>
      <c r="K138" s="64">
        <v>1</v>
      </c>
      <c r="M138" s="64">
        <v>136</v>
      </c>
      <c r="N138" s="64">
        <v>28</v>
      </c>
      <c r="O138" s="64">
        <v>8</v>
      </c>
      <c r="P138" s="64">
        <v>1</v>
      </c>
      <c r="Q138" s="64">
        <v>1</v>
      </c>
      <c r="S138" s="64">
        <v>136</v>
      </c>
      <c r="T138" s="64">
        <f t="shared" si="5"/>
        <v>28</v>
      </c>
      <c r="U138" s="64">
        <f t="shared" si="4"/>
        <v>0</v>
      </c>
      <c r="V138" s="64">
        <f>VLOOKUP(T138,$AA$3:$AC$68,3,FALSE)</f>
        <v>0</v>
      </c>
      <c r="W138" s="64">
        <v>1</v>
      </c>
    </row>
    <row r="139" spans="1:23" ht="12" customHeight="1">
      <c r="A139" s="64">
        <v>137</v>
      </c>
      <c r="B139" s="64">
        <v>28</v>
      </c>
      <c r="C139" s="64">
        <v>8</v>
      </c>
      <c r="D139" s="64">
        <v>9</v>
      </c>
      <c r="E139" s="64">
        <v>2</v>
      </c>
      <c r="G139" s="64">
        <v>137</v>
      </c>
      <c r="H139" s="64">
        <v>28</v>
      </c>
      <c r="I139" s="64">
        <v>7</v>
      </c>
      <c r="J139" s="64">
        <v>3</v>
      </c>
      <c r="K139" s="64">
        <v>2</v>
      </c>
      <c r="M139" s="64">
        <v>137</v>
      </c>
      <c r="N139" s="64">
        <v>28</v>
      </c>
      <c r="O139" s="64">
        <v>8</v>
      </c>
      <c r="P139" s="64">
        <v>1</v>
      </c>
      <c r="Q139" s="64">
        <v>2</v>
      </c>
      <c r="S139" s="64">
        <v>137</v>
      </c>
      <c r="T139" s="64">
        <f t="shared" si="5"/>
        <v>28</v>
      </c>
      <c r="U139" s="64">
        <f t="shared" si="4"/>
        <v>0</v>
      </c>
      <c r="V139" s="64">
        <f>VLOOKUP(T139,$AA$3:$AC$68,3,FALSE)</f>
        <v>0</v>
      </c>
      <c r="W139" s="64">
        <v>2</v>
      </c>
    </row>
    <row r="140" spans="1:23" ht="12" customHeight="1">
      <c r="A140" s="64">
        <v>138</v>
      </c>
      <c r="B140" s="64">
        <v>28</v>
      </c>
      <c r="C140" s="64">
        <v>8</v>
      </c>
      <c r="D140" s="64">
        <v>9</v>
      </c>
      <c r="E140" s="64">
        <v>3</v>
      </c>
      <c r="G140" s="64">
        <v>138</v>
      </c>
      <c r="H140" s="64">
        <v>28</v>
      </c>
      <c r="I140" s="64">
        <v>7</v>
      </c>
      <c r="J140" s="64">
        <v>3</v>
      </c>
      <c r="K140" s="64">
        <v>3</v>
      </c>
      <c r="M140" s="64">
        <v>138</v>
      </c>
      <c r="N140" s="64">
        <v>28</v>
      </c>
      <c r="O140" s="64">
        <v>8</v>
      </c>
      <c r="P140" s="64">
        <v>1</v>
      </c>
      <c r="Q140" s="64">
        <v>3</v>
      </c>
      <c r="S140" s="64">
        <v>138</v>
      </c>
      <c r="T140" s="64">
        <f t="shared" si="5"/>
        <v>28</v>
      </c>
      <c r="U140" s="64">
        <f t="shared" si="4"/>
        <v>0</v>
      </c>
      <c r="V140" s="64">
        <f>VLOOKUP(T140,$AA$3:$AC$68,3,FALSE)</f>
        <v>0</v>
      </c>
      <c r="W140" s="64">
        <v>3</v>
      </c>
    </row>
    <row r="141" spans="1:23" ht="12" customHeight="1">
      <c r="A141" s="64">
        <v>139</v>
      </c>
      <c r="B141" s="64">
        <v>28</v>
      </c>
      <c r="C141" s="64">
        <v>8</v>
      </c>
      <c r="D141" s="64">
        <v>9</v>
      </c>
      <c r="E141" s="64">
        <v>4</v>
      </c>
      <c r="G141" s="64">
        <v>139</v>
      </c>
      <c r="H141" s="64">
        <v>28</v>
      </c>
      <c r="I141" s="64">
        <v>7</v>
      </c>
      <c r="J141" s="64">
        <v>3</v>
      </c>
      <c r="K141" s="64">
        <v>4</v>
      </c>
      <c r="M141" s="64">
        <v>139</v>
      </c>
      <c r="N141" s="64">
        <v>28</v>
      </c>
      <c r="O141" s="64">
        <v>8</v>
      </c>
      <c r="P141" s="64">
        <v>1</v>
      </c>
      <c r="Q141" s="64">
        <v>4</v>
      </c>
      <c r="S141" s="64">
        <v>139</v>
      </c>
      <c r="T141" s="64">
        <f t="shared" si="5"/>
        <v>28</v>
      </c>
      <c r="U141" s="64">
        <f t="shared" si="4"/>
        <v>0</v>
      </c>
      <c r="V141" s="64">
        <f>VLOOKUP(T141,$AA$3:$AC$68,3,FALSE)</f>
        <v>0</v>
      </c>
      <c r="W141" s="64">
        <v>4</v>
      </c>
    </row>
    <row r="142" spans="1:23" ht="12" customHeight="1">
      <c r="A142" s="64">
        <v>140</v>
      </c>
      <c r="B142" s="64">
        <v>28</v>
      </c>
      <c r="C142" s="64">
        <v>8</v>
      </c>
      <c r="D142" s="64">
        <v>9</v>
      </c>
      <c r="E142" s="64">
        <v>5</v>
      </c>
      <c r="G142" s="64">
        <v>140</v>
      </c>
      <c r="H142" s="64">
        <v>28</v>
      </c>
      <c r="I142" s="64">
        <v>7</v>
      </c>
      <c r="J142" s="64">
        <v>3</v>
      </c>
      <c r="K142" s="64">
        <v>5</v>
      </c>
      <c r="M142" s="64">
        <v>140</v>
      </c>
      <c r="N142" s="64">
        <v>28</v>
      </c>
      <c r="O142" s="64">
        <v>8</v>
      </c>
      <c r="P142" s="64">
        <v>1</v>
      </c>
      <c r="Q142" s="64">
        <v>5</v>
      </c>
      <c r="S142" s="64">
        <v>140</v>
      </c>
      <c r="T142" s="64">
        <f t="shared" si="5"/>
        <v>28</v>
      </c>
      <c r="U142" s="64">
        <f t="shared" si="4"/>
        <v>0</v>
      </c>
      <c r="V142" s="64">
        <f>VLOOKUP(T142,$AA$3:$AC$68,3,FALSE)</f>
        <v>0</v>
      </c>
      <c r="W142" s="64">
        <v>5</v>
      </c>
    </row>
    <row r="143" spans="1:23" ht="12" customHeight="1">
      <c r="A143" s="63">
        <v>141</v>
      </c>
      <c r="B143" s="63">
        <v>29</v>
      </c>
      <c r="C143" s="63">
        <v>6</v>
      </c>
      <c r="D143" s="63">
        <v>7</v>
      </c>
      <c r="E143" s="63">
        <v>1</v>
      </c>
      <c r="G143" s="63">
        <v>141</v>
      </c>
      <c r="H143" s="63">
        <v>29</v>
      </c>
      <c r="I143" s="63">
        <v>6</v>
      </c>
      <c r="J143" s="63">
        <v>4</v>
      </c>
      <c r="K143" s="63">
        <v>1</v>
      </c>
      <c r="M143" s="63">
        <v>141</v>
      </c>
      <c r="N143" s="63">
        <v>29</v>
      </c>
      <c r="O143" s="63">
        <v>6</v>
      </c>
      <c r="P143" s="63">
        <v>10</v>
      </c>
      <c r="Q143" s="63">
        <v>1</v>
      </c>
      <c r="S143" s="63">
        <v>141</v>
      </c>
      <c r="T143" s="63">
        <f t="shared" si="5"/>
        <v>29</v>
      </c>
      <c r="U143" s="63">
        <f t="shared" si="4"/>
        <v>0</v>
      </c>
      <c r="V143" s="63">
        <f>VLOOKUP(T143,$AA$2:$AC$68,3,FALSE)</f>
        <v>0</v>
      </c>
      <c r="W143" s="63">
        <v>1</v>
      </c>
    </row>
    <row r="144" spans="1:23" ht="12" customHeight="1">
      <c r="A144" s="63">
        <v>142</v>
      </c>
      <c r="B144" s="63">
        <v>29</v>
      </c>
      <c r="C144" s="63">
        <v>6</v>
      </c>
      <c r="D144" s="63">
        <v>7</v>
      </c>
      <c r="E144" s="63">
        <v>2</v>
      </c>
      <c r="G144" s="63">
        <v>142</v>
      </c>
      <c r="H144" s="63">
        <v>29</v>
      </c>
      <c r="I144" s="63">
        <v>6</v>
      </c>
      <c r="J144" s="63">
        <v>4</v>
      </c>
      <c r="K144" s="63">
        <v>2</v>
      </c>
      <c r="M144" s="63">
        <v>142</v>
      </c>
      <c r="N144" s="63">
        <v>29</v>
      </c>
      <c r="O144" s="63">
        <v>6</v>
      </c>
      <c r="P144" s="63">
        <v>10</v>
      </c>
      <c r="Q144" s="63">
        <v>2</v>
      </c>
      <c r="S144" s="63">
        <v>142</v>
      </c>
      <c r="T144" s="63">
        <f t="shared" si="5"/>
        <v>29</v>
      </c>
      <c r="U144" s="63">
        <f t="shared" si="4"/>
        <v>0</v>
      </c>
      <c r="V144" s="63">
        <f>VLOOKUP(T144,$AA$2:$AC$68,3,FALSE)</f>
        <v>0</v>
      </c>
      <c r="W144" s="63">
        <v>2</v>
      </c>
    </row>
    <row r="145" spans="1:23" ht="12" customHeight="1">
      <c r="A145" s="63">
        <v>143</v>
      </c>
      <c r="B145" s="63">
        <v>29</v>
      </c>
      <c r="C145" s="63">
        <v>6</v>
      </c>
      <c r="D145" s="63">
        <v>7</v>
      </c>
      <c r="E145" s="63">
        <v>3</v>
      </c>
      <c r="G145" s="63">
        <v>143</v>
      </c>
      <c r="H145" s="63">
        <v>29</v>
      </c>
      <c r="I145" s="63">
        <v>6</v>
      </c>
      <c r="J145" s="63">
        <v>4</v>
      </c>
      <c r="K145" s="63">
        <v>3</v>
      </c>
      <c r="M145" s="63">
        <v>143</v>
      </c>
      <c r="N145" s="63">
        <v>29</v>
      </c>
      <c r="O145" s="63">
        <v>6</v>
      </c>
      <c r="P145" s="63">
        <v>10</v>
      </c>
      <c r="Q145" s="63">
        <v>3</v>
      </c>
      <c r="S145" s="63">
        <v>143</v>
      </c>
      <c r="T145" s="63">
        <f t="shared" si="5"/>
        <v>29</v>
      </c>
      <c r="U145" s="63">
        <f t="shared" si="4"/>
        <v>0</v>
      </c>
      <c r="V145" s="63">
        <f>VLOOKUP(T145,$AA$2:$AC$68,3,FALSE)</f>
        <v>0</v>
      </c>
      <c r="W145" s="63">
        <v>3</v>
      </c>
    </row>
    <row r="146" spans="1:23" ht="12" customHeight="1">
      <c r="A146" s="63">
        <v>144</v>
      </c>
      <c r="B146" s="63">
        <v>29</v>
      </c>
      <c r="C146" s="63">
        <v>6</v>
      </c>
      <c r="D146" s="63">
        <v>7</v>
      </c>
      <c r="E146" s="63">
        <v>4</v>
      </c>
      <c r="G146" s="63">
        <v>144</v>
      </c>
      <c r="H146" s="63">
        <v>29</v>
      </c>
      <c r="I146" s="63">
        <v>6</v>
      </c>
      <c r="J146" s="63">
        <v>4</v>
      </c>
      <c r="K146" s="63">
        <v>4</v>
      </c>
      <c r="M146" s="63">
        <v>144</v>
      </c>
      <c r="N146" s="63">
        <v>29</v>
      </c>
      <c r="O146" s="63">
        <v>6</v>
      </c>
      <c r="P146" s="63">
        <v>10</v>
      </c>
      <c r="Q146" s="63">
        <v>4</v>
      </c>
      <c r="S146" s="63">
        <v>144</v>
      </c>
      <c r="T146" s="63">
        <f t="shared" si="5"/>
        <v>29</v>
      </c>
      <c r="U146" s="63">
        <f t="shared" si="4"/>
        <v>0</v>
      </c>
      <c r="V146" s="63">
        <f>VLOOKUP(T146,$AA$2:$AC$68,3,FALSE)</f>
        <v>0</v>
      </c>
      <c r="W146" s="63">
        <v>4</v>
      </c>
    </row>
    <row r="147" spans="1:23" ht="12" customHeight="1">
      <c r="A147" s="63">
        <v>145</v>
      </c>
      <c r="B147" s="63">
        <v>29</v>
      </c>
      <c r="C147" s="63">
        <v>6</v>
      </c>
      <c r="D147" s="63">
        <v>7</v>
      </c>
      <c r="E147" s="63">
        <v>5</v>
      </c>
      <c r="G147" s="63">
        <v>145</v>
      </c>
      <c r="H147" s="63">
        <v>29</v>
      </c>
      <c r="I147" s="63">
        <v>6</v>
      </c>
      <c r="J147" s="63">
        <v>4</v>
      </c>
      <c r="K147" s="63">
        <v>5</v>
      </c>
      <c r="M147" s="63">
        <v>145</v>
      </c>
      <c r="N147" s="63">
        <v>29</v>
      </c>
      <c r="O147" s="63">
        <v>6</v>
      </c>
      <c r="P147" s="63">
        <v>10</v>
      </c>
      <c r="Q147" s="63">
        <v>5</v>
      </c>
      <c r="S147" s="63">
        <v>145</v>
      </c>
      <c r="T147" s="63">
        <f t="shared" si="5"/>
        <v>29</v>
      </c>
      <c r="U147" s="63">
        <f t="shared" si="4"/>
        <v>0</v>
      </c>
      <c r="V147" s="63">
        <f>VLOOKUP(T147,$AA$2:$AC$68,3,FALSE)</f>
        <v>0</v>
      </c>
      <c r="W147" s="63">
        <v>5</v>
      </c>
    </row>
    <row r="148" spans="1:23" ht="12" customHeight="1">
      <c r="A148" s="64">
        <v>146</v>
      </c>
      <c r="B148" s="64">
        <v>30</v>
      </c>
      <c r="C148" s="64">
        <v>4</v>
      </c>
      <c r="D148" s="64">
        <v>5</v>
      </c>
      <c r="E148" s="64">
        <v>1</v>
      </c>
      <c r="G148" s="64">
        <v>146</v>
      </c>
      <c r="H148" s="64">
        <v>30</v>
      </c>
      <c r="I148" s="64">
        <v>1</v>
      </c>
      <c r="J148" s="64">
        <v>5</v>
      </c>
      <c r="K148" s="64">
        <v>1</v>
      </c>
      <c r="M148" s="64">
        <v>146</v>
      </c>
      <c r="N148" s="64">
        <v>30</v>
      </c>
      <c r="O148" s="64">
        <v>4</v>
      </c>
      <c r="P148" s="64">
        <v>11</v>
      </c>
      <c r="Q148" s="64">
        <v>1</v>
      </c>
      <c r="S148" s="64">
        <v>146</v>
      </c>
      <c r="T148" s="64">
        <f t="shared" si="5"/>
        <v>30</v>
      </c>
      <c r="U148" s="64">
        <f t="shared" si="4"/>
        <v>0</v>
      </c>
      <c r="V148" s="64">
        <f>VLOOKUP(T148,$AA$3:$AC$68,3,FALSE)</f>
        <v>0</v>
      </c>
      <c r="W148" s="64">
        <v>1</v>
      </c>
    </row>
    <row r="149" spans="1:23" ht="12" customHeight="1">
      <c r="A149" s="64">
        <v>147</v>
      </c>
      <c r="B149" s="64">
        <v>30</v>
      </c>
      <c r="C149" s="64">
        <v>4</v>
      </c>
      <c r="D149" s="64">
        <v>5</v>
      </c>
      <c r="E149" s="64">
        <v>2</v>
      </c>
      <c r="G149" s="64">
        <v>147</v>
      </c>
      <c r="H149" s="64">
        <v>30</v>
      </c>
      <c r="I149" s="64">
        <v>1</v>
      </c>
      <c r="J149" s="64">
        <v>5</v>
      </c>
      <c r="K149" s="64">
        <v>2</v>
      </c>
      <c r="M149" s="64">
        <v>147</v>
      </c>
      <c r="N149" s="64">
        <v>30</v>
      </c>
      <c r="O149" s="64">
        <v>4</v>
      </c>
      <c r="P149" s="64">
        <v>11</v>
      </c>
      <c r="Q149" s="64">
        <v>2</v>
      </c>
      <c r="S149" s="64">
        <v>147</v>
      </c>
      <c r="T149" s="64">
        <f t="shared" si="5"/>
        <v>30</v>
      </c>
      <c r="U149" s="64">
        <f t="shared" si="4"/>
        <v>0</v>
      </c>
      <c r="V149" s="64">
        <f>VLOOKUP(T149,$AA$3:$AC$68,3,FALSE)</f>
        <v>0</v>
      </c>
      <c r="W149" s="64">
        <v>2</v>
      </c>
    </row>
    <row r="150" spans="1:23" ht="12" customHeight="1">
      <c r="A150" s="64">
        <v>148</v>
      </c>
      <c r="B150" s="64">
        <v>30</v>
      </c>
      <c r="C150" s="64">
        <v>4</v>
      </c>
      <c r="D150" s="64">
        <v>5</v>
      </c>
      <c r="E150" s="64">
        <v>3</v>
      </c>
      <c r="G150" s="64">
        <v>148</v>
      </c>
      <c r="H150" s="64">
        <v>30</v>
      </c>
      <c r="I150" s="64">
        <v>1</v>
      </c>
      <c r="J150" s="64">
        <v>5</v>
      </c>
      <c r="K150" s="64">
        <v>3</v>
      </c>
      <c r="M150" s="64">
        <v>148</v>
      </c>
      <c r="N150" s="64">
        <v>30</v>
      </c>
      <c r="O150" s="64">
        <v>4</v>
      </c>
      <c r="P150" s="64">
        <v>11</v>
      </c>
      <c r="Q150" s="64">
        <v>3</v>
      </c>
      <c r="S150" s="64">
        <v>148</v>
      </c>
      <c r="T150" s="64">
        <f t="shared" si="5"/>
        <v>30</v>
      </c>
      <c r="U150" s="64">
        <f t="shared" si="4"/>
        <v>0</v>
      </c>
      <c r="V150" s="64">
        <f>VLOOKUP(T150,$AA$3:$AC$68,3,FALSE)</f>
        <v>0</v>
      </c>
      <c r="W150" s="64">
        <v>3</v>
      </c>
    </row>
    <row r="151" spans="1:23" ht="12" customHeight="1">
      <c r="A151" s="64">
        <v>149</v>
      </c>
      <c r="B151" s="64">
        <v>30</v>
      </c>
      <c r="C151" s="64">
        <v>4</v>
      </c>
      <c r="D151" s="64">
        <v>5</v>
      </c>
      <c r="E151" s="64">
        <v>4</v>
      </c>
      <c r="G151" s="64">
        <v>149</v>
      </c>
      <c r="H151" s="64">
        <v>30</v>
      </c>
      <c r="I151" s="64">
        <v>1</v>
      </c>
      <c r="J151" s="64">
        <v>5</v>
      </c>
      <c r="K151" s="64">
        <v>4</v>
      </c>
      <c r="M151" s="64">
        <v>149</v>
      </c>
      <c r="N151" s="64">
        <v>30</v>
      </c>
      <c r="O151" s="64">
        <v>4</v>
      </c>
      <c r="P151" s="64">
        <v>11</v>
      </c>
      <c r="Q151" s="64">
        <v>4</v>
      </c>
      <c r="S151" s="64">
        <v>149</v>
      </c>
      <c r="T151" s="64">
        <f t="shared" si="5"/>
        <v>30</v>
      </c>
      <c r="U151" s="64">
        <f t="shared" si="4"/>
        <v>0</v>
      </c>
      <c r="V151" s="64">
        <f>VLOOKUP(T151,$AA$3:$AC$68,3,FALSE)</f>
        <v>0</v>
      </c>
      <c r="W151" s="64">
        <v>4</v>
      </c>
    </row>
    <row r="152" spans="1:23" ht="12" customHeight="1">
      <c r="A152" s="64">
        <v>150</v>
      </c>
      <c r="B152" s="64">
        <v>30</v>
      </c>
      <c r="C152" s="64">
        <v>4</v>
      </c>
      <c r="D152" s="64">
        <v>5</v>
      </c>
      <c r="E152" s="64">
        <v>5</v>
      </c>
      <c r="G152" s="64">
        <v>150</v>
      </c>
      <c r="H152" s="64">
        <v>30</v>
      </c>
      <c r="I152" s="64">
        <v>1</v>
      </c>
      <c r="J152" s="64">
        <v>5</v>
      </c>
      <c r="K152" s="64">
        <v>5</v>
      </c>
      <c r="M152" s="64">
        <v>150</v>
      </c>
      <c r="N152" s="64">
        <v>30</v>
      </c>
      <c r="O152" s="64">
        <v>4</v>
      </c>
      <c r="P152" s="64">
        <v>11</v>
      </c>
      <c r="Q152" s="64">
        <v>5</v>
      </c>
      <c r="S152" s="64">
        <v>150</v>
      </c>
      <c r="T152" s="64">
        <f t="shared" si="5"/>
        <v>30</v>
      </c>
      <c r="U152" s="64">
        <f t="shared" si="4"/>
        <v>0</v>
      </c>
      <c r="V152" s="64">
        <f>VLOOKUP(T152,$AA$3:$AC$68,3,FALSE)</f>
        <v>0</v>
      </c>
      <c r="W152" s="64">
        <v>5</v>
      </c>
    </row>
    <row r="153" spans="1:23" ht="12" customHeight="1">
      <c r="A153" s="63">
        <v>151</v>
      </c>
      <c r="B153" s="63">
        <v>31</v>
      </c>
      <c r="C153" s="63">
        <v>2</v>
      </c>
      <c r="D153" s="63">
        <v>3</v>
      </c>
      <c r="E153" s="63">
        <v>1</v>
      </c>
      <c r="G153" s="63">
        <v>151</v>
      </c>
      <c r="H153" s="63">
        <v>31</v>
      </c>
      <c r="I153" s="63">
        <v>8</v>
      </c>
      <c r="J153" s="63">
        <v>9</v>
      </c>
      <c r="K153" s="63">
        <v>1</v>
      </c>
      <c r="M153" s="63">
        <v>151</v>
      </c>
      <c r="N153" s="63">
        <v>31</v>
      </c>
      <c r="O153" s="63">
        <v>2</v>
      </c>
      <c r="P153" s="63">
        <v>9</v>
      </c>
      <c r="Q153" s="63">
        <v>1</v>
      </c>
      <c r="S153" s="63">
        <v>151</v>
      </c>
      <c r="T153" s="63">
        <f t="shared" si="5"/>
        <v>31</v>
      </c>
      <c r="U153" s="63">
        <f t="shared" si="4"/>
        <v>0</v>
      </c>
      <c r="V153" s="63">
        <f>VLOOKUP(T153,$AA$2:$AC$68,3,FALSE)</f>
        <v>0</v>
      </c>
      <c r="W153" s="63">
        <v>1</v>
      </c>
    </row>
    <row r="154" spans="1:23" ht="12" customHeight="1">
      <c r="A154" s="63">
        <v>152</v>
      </c>
      <c r="B154" s="63">
        <v>31</v>
      </c>
      <c r="C154" s="63">
        <v>2</v>
      </c>
      <c r="D154" s="63">
        <v>3</v>
      </c>
      <c r="E154" s="63">
        <v>2</v>
      </c>
      <c r="G154" s="63">
        <v>152</v>
      </c>
      <c r="H154" s="63">
        <v>31</v>
      </c>
      <c r="I154" s="63">
        <v>8</v>
      </c>
      <c r="J154" s="63">
        <v>9</v>
      </c>
      <c r="K154" s="63">
        <v>2</v>
      </c>
      <c r="M154" s="63">
        <v>152</v>
      </c>
      <c r="N154" s="63">
        <v>31</v>
      </c>
      <c r="O154" s="63">
        <v>2</v>
      </c>
      <c r="P154" s="63">
        <v>9</v>
      </c>
      <c r="Q154" s="63">
        <v>2</v>
      </c>
      <c r="S154" s="63">
        <v>152</v>
      </c>
      <c r="T154" s="63">
        <f t="shared" si="5"/>
        <v>31</v>
      </c>
      <c r="U154" s="63">
        <f t="shared" si="4"/>
        <v>0</v>
      </c>
      <c r="V154" s="63">
        <f>VLOOKUP(T154,$AA$2:$AC$68,3,FALSE)</f>
        <v>0</v>
      </c>
      <c r="W154" s="63">
        <v>2</v>
      </c>
    </row>
    <row r="155" spans="1:23" ht="12" customHeight="1">
      <c r="A155" s="63">
        <v>153</v>
      </c>
      <c r="B155" s="63">
        <v>31</v>
      </c>
      <c r="C155" s="63">
        <v>2</v>
      </c>
      <c r="D155" s="63">
        <v>3</v>
      </c>
      <c r="E155" s="63">
        <v>3</v>
      </c>
      <c r="G155" s="63">
        <v>153</v>
      </c>
      <c r="H155" s="63">
        <v>31</v>
      </c>
      <c r="I155" s="63">
        <v>8</v>
      </c>
      <c r="J155" s="63">
        <v>9</v>
      </c>
      <c r="K155" s="63">
        <v>3</v>
      </c>
      <c r="M155" s="63">
        <v>153</v>
      </c>
      <c r="N155" s="63">
        <v>31</v>
      </c>
      <c r="O155" s="63">
        <v>2</v>
      </c>
      <c r="P155" s="63">
        <v>9</v>
      </c>
      <c r="Q155" s="63">
        <v>3</v>
      </c>
      <c r="S155" s="63">
        <v>153</v>
      </c>
      <c r="T155" s="63">
        <f t="shared" si="5"/>
        <v>31</v>
      </c>
      <c r="U155" s="63">
        <f t="shared" si="4"/>
        <v>0</v>
      </c>
      <c r="V155" s="63">
        <f>VLOOKUP(T155,$AA$2:$AC$68,3,FALSE)</f>
        <v>0</v>
      </c>
      <c r="W155" s="63">
        <v>3</v>
      </c>
    </row>
    <row r="156" spans="1:23" ht="12" customHeight="1">
      <c r="A156" s="63">
        <v>154</v>
      </c>
      <c r="B156" s="63">
        <v>31</v>
      </c>
      <c r="C156" s="63">
        <v>2</v>
      </c>
      <c r="D156" s="63">
        <v>3</v>
      </c>
      <c r="E156" s="63">
        <v>4</v>
      </c>
      <c r="G156" s="63">
        <v>154</v>
      </c>
      <c r="H156" s="63">
        <v>31</v>
      </c>
      <c r="I156" s="63">
        <v>8</v>
      </c>
      <c r="J156" s="63">
        <v>9</v>
      </c>
      <c r="K156" s="63">
        <v>4</v>
      </c>
      <c r="M156" s="63">
        <v>154</v>
      </c>
      <c r="N156" s="63">
        <v>31</v>
      </c>
      <c r="O156" s="63">
        <v>2</v>
      </c>
      <c r="P156" s="63">
        <v>9</v>
      </c>
      <c r="Q156" s="63">
        <v>4</v>
      </c>
      <c r="S156" s="63">
        <v>154</v>
      </c>
      <c r="T156" s="63">
        <f t="shared" si="5"/>
        <v>31</v>
      </c>
      <c r="U156" s="63">
        <f t="shared" si="4"/>
        <v>0</v>
      </c>
      <c r="V156" s="63">
        <f>VLOOKUP(T156,$AA$2:$AC$68,3,FALSE)</f>
        <v>0</v>
      </c>
      <c r="W156" s="63">
        <v>4</v>
      </c>
    </row>
    <row r="157" spans="1:23" ht="12" customHeight="1">
      <c r="A157" s="63">
        <v>155</v>
      </c>
      <c r="B157" s="63">
        <v>31</v>
      </c>
      <c r="C157" s="63">
        <v>2</v>
      </c>
      <c r="D157" s="63">
        <v>3</v>
      </c>
      <c r="E157" s="63">
        <v>5</v>
      </c>
      <c r="G157" s="63">
        <v>155</v>
      </c>
      <c r="H157" s="63">
        <v>31</v>
      </c>
      <c r="I157" s="63">
        <v>8</v>
      </c>
      <c r="J157" s="63">
        <v>9</v>
      </c>
      <c r="K157" s="63">
        <v>5</v>
      </c>
      <c r="M157" s="63">
        <v>155</v>
      </c>
      <c r="N157" s="63">
        <v>31</v>
      </c>
      <c r="O157" s="63">
        <v>2</v>
      </c>
      <c r="P157" s="63">
        <v>9</v>
      </c>
      <c r="Q157" s="63">
        <v>5</v>
      </c>
      <c r="S157" s="63">
        <v>155</v>
      </c>
      <c r="T157" s="63">
        <f t="shared" si="5"/>
        <v>31</v>
      </c>
      <c r="U157" s="63">
        <f t="shared" si="4"/>
        <v>0</v>
      </c>
      <c r="V157" s="63">
        <f>VLOOKUP(T157,$AA$2:$AC$68,3,FALSE)</f>
        <v>0</v>
      </c>
      <c r="W157" s="63">
        <v>5</v>
      </c>
    </row>
    <row r="158" spans="1:23" ht="12" customHeight="1">
      <c r="A158" s="64">
        <v>156</v>
      </c>
      <c r="B158" s="64">
        <v>32</v>
      </c>
      <c r="C158" s="64">
        <v>9</v>
      </c>
      <c r="D158" s="64">
        <v>1</v>
      </c>
      <c r="E158" s="64">
        <v>1</v>
      </c>
      <c r="G158" s="64">
        <v>156</v>
      </c>
      <c r="H158" s="64">
        <v>32</v>
      </c>
      <c r="I158" s="64">
        <v>7</v>
      </c>
      <c r="J158" s="64">
        <v>10</v>
      </c>
      <c r="K158" s="64">
        <v>1</v>
      </c>
      <c r="M158" s="64">
        <v>156</v>
      </c>
      <c r="N158" s="64">
        <v>32</v>
      </c>
      <c r="O158" s="64">
        <v>3</v>
      </c>
      <c r="P158" s="64">
        <v>7</v>
      </c>
      <c r="Q158" s="64">
        <v>1</v>
      </c>
      <c r="S158" s="64">
        <v>156</v>
      </c>
      <c r="T158" s="64">
        <f t="shared" si="5"/>
        <v>32</v>
      </c>
      <c r="U158" s="64">
        <f t="shared" si="4"/>
        <v>0</v>
      </c>
      <c r="V158" s="64">
        <f>VLOOKUP(T158,$AA$3:$AC$68,3,FALSE)</f>
        <v>0</v>
      </c>
      <c r="W158" s="64">
        <v>1</v>
      </c>
    </row>
    <row r="159" spans="1:23" ht="12" customHeight="1">
      <c r="A159" s="64">
        <v>157</v>
      </c>
      <c r="B159" s="64">
        <v>32</v>
      </c>
      <c r="C159" s="64">
        <v>9</v>
      </c>
      <c r="D159" s="64">
        <v>1</v>
      </c>
      <c r="E159" s="64">
        <v>2</v>
      </c>
      <c r="G159" s="64">
        <v>157</v>
      </c>
      <c r="H159" s="64">
        <v>32</v>
      </c>
      <c r="I159" s="64">
        <v>7</v>
      </c>
      <c r="J159" s="64">
        <v>10</v>
      </c>
      <c r="K159" s="64">
        <v>2</v>
      </c>
      <c r="M159" s="64">
        <v>157</v>
      </c>
      <c r="N159" s="64">
        <v>32</v>
      </c>
      <c r="O159" s="64">
        <v>3</v>
      </c>
      <c r="P159" s="64">
        <v>7</v>
      </c>
      <c r="Q159" s="64">
        <v>2</v>
      </c>
      <c r="S159" s="64">
        <v>157</v>
      </c>
      <c r="T159" s="64">
        <f t="shared" si="5"/>
        <v>32</v>
      </c>
      <c r="U159" s="64">
        <f t="shared" si="4"/>
        <v>0</v>
      </c>
      <c r="V159" s="64">
        <f>VLOOKUP(T159,$AA$3:$AC$68,3,FALSE)</f>
        <v>0</v>
      </c>
      <c r="W159" s="64">
        <v>2</v>
      </c>
    </row>
    <row r="160" spans="1:23" ht="12" customHeight="1">
      <c r="A160" s="64">
        <v>158</v>
      </c>
      <c r="B160" s="64">
        <v>32</v>
      </c>
      <c r="C160" s="64">
        <v>9</v>
      </c>
      <c r="D160" s="64">
        <v>1</v>
      </c>
      <c r="E160" s="64">
        <v>3</v>
      </c>
      <c r="G160" s="64">
        <v>158</v>
      </c>
      <c r="H160" s="64">
        <v>32</v>
      </c>
      <c r="I160" s="64">
        <v>7</v>
      </c>
      <c r="J160" s="64">
        <v>10</v>
      </c>
      <c r="K160" s="64">
        <v>3</v>
      </c>
      <c r="M160" s="64">
        <v>158</v>
      </c>
      <c r="N160" s="64">
        <v>32</v>
      </c>
      <c r="O160" s="64">
        <v>3</v>
      </c>
      <c r="P160" s="64">
        <v>7</v>
      </c>
      <c r="Q160" s="64">
        <v>3</v>
      </c>
      <c r="S160" s="64">
        <v>158</v>
      </c>
      <c r="T160" s="64">
        <f t="shared" si="5"/>
        <v>32</v>
      </c>
      <c r="U160" s="64">
        <f t="shared" si="4"/>
        <v>0</v>
      </c>
      <c r="V160" s="64">
        <f>VLOOKUP(T160,$AA$3:$AC$68,3,FALSE)</f>
        <v>0</v>
      </c>
      <c r="W160" s="64">
        <v>3</v>
      </c>
    </row>
    <row r="161" spans="1:23" ht="12" customHeight="1">
      <c r="A161" s="64">
        <v>159</v>
      </c>
      <c r="B161" s="64">
        <v>32</v>
      </c>
      <c r="C161" s="64">
        <v>9</v>
      </c>
      <c r="D161" s="64">
        <v>1</v>
      </c>
      <c r="E161" s="64">
        <v>4</v>
      </c>
      <c r="G161" s="64">
        <v>159</v>
      </c>
      <c r="H161" s="64">
        <v>32</v>
      </c>
      <c r="I161" s="64">
        <v>7</v>
      </c>
      <c r="J161" s="64">
        <v>10</v>
      </c>
      <c r="K161" s="64">
        <v>4</v>
      </c>
      <c r="M161" s="64">
        <v>159</v>
      </c>
      <c r="N161" s="64">
        <v>32</v>
      </c>
      <c r="O161" s="64">
        <v>3</v>
      </c>
      <c r="P161" s="64">
        <v>7</v>
      </c>
      <c r="Q161" s="64">
        <v>4</v>
      </c>
      <c r="S161" s="64">
        <v>159</v>
      </c>
      <c r="T161" s="64">
        <f t="shared" si="5"/>
        <v>32</v>
      </c>
      <c r="U161" s="64">
        <f t="shared" si="4"/>
        <v>0</v>
      </c>
      <c r="V161" s="64">
        <f>VLOOKUP(T161,$AA$3:$AC$68,3,FALSE)</f>
        <v>0</v>
      </c>
      <c r="W161" s="64">
        <v>4</v>
      </c>
    </row>
    <row r="162" spans="1:23" ht="12" customHeight="1">
      <c r="A162" s="64">
        <v>160</v>
      </c>
      <c r="B162" s="64">
        <v>32</v>
      </c>
      <c r="C162" s="64">
        <v>9</v>
      </c>
      <c r="D162" s="64">
        <v>1</v>
      </c>
      <c r="E162" s="64">
        <v>5</v>
      </c>
      <c r="G162" s="64">
        <v>160</v>
      </c>
      <c r="H162" s="64">
        <v>32</v>
      </c>
      <c r="I162" s="64">
        <v>7</v>
      </c>
      <c r="J162" s="64">
        <v>10</v>
      </c>
      <c r="K162" s="64">
        <v>5</v>
      </c>
      <c r="M162" s="64">
        <v>160</v>
      </c>
      <c r="N162" s="64">
        <v>32</v>
      </c>
      <c r="O162" s="64">
        <v>3</v>
      </c>
      <c r="P162" s="64">
        <v>7</v>
      </c>
      <c r="Q162" s="64">
        <v>5</v>
      </c>
      <c r="S162" s="64">
        <v>160</v>
      </c>
      <c r="T162" s="64">
        <f t="shared" si="5"/>
        <v>32</v>
      </c>
      <c r="U162" s="64">
        <f t="shared" si="4"/>
        <v>0</v>
      </c>
      <c r="V162" s="64">
        <f>VLOOKUP(T162,$AA$3:$AC$68,3,FALSE)</f>
        <v>0</v>
      </c>
      <c r="W162" s="64">
        <v>5</v>
      </c>
    </row>
    <row r="163" spans="1:23" ht="12" customHeight="1">
      <c r="A163" s="63">
        <v>161</v>
      </c>
      <c r="B163" s="63">
        <v>33</v>
      </c>
      <c r="C163" s="63">
        <v>7</v>
      </c>
      <c r="D163" s="63">
        <v>8</v>
      </c>
      <c r="E163" s="63">
        <v>1</v>
      </c>
      <c r="G163" s="63">
        <v>161</v>
      </c>
      <c r="H163" s="63">
        <v>33</v>
      </c>
      <c r="I163" s="63">
        <v>6</v>
      </c>
      <c r="J163" s="63">
        <v>2</v>
      </c>
      <c r="K163" s="63">
        <v>1</v>
      </c>
      <c r="M163" s="63">
        <v>161</v>
      </c>
      <c r="N163" s="63">
        <v>33</v>
      </c>
      <c r="O163" s="63">
        <v>1</v>
      </c>
      <c r="P163" s="63">
        <v>5</v>
      </c>
      <c r="Q163" s="63">
        <v>1</v>
      </c>
      <c r="S163" s="63">
        <v>161</v>
      </c>
      <c r="T163" s="63">
        <f t="shared" si="5"/>
        <v>33</v>
      </c>
      <c r="U163" s="63">
        <f t="shared" si="4"/>
        <v>0</v>
      </c>
      <c r="V163" s="63">
        <f>VLOOKUP(T163,$AA$2:$AC$68,3,FALSE)</f>
        <v>0</v>
      </c>
      <c r="W163" s="63">
        <v>1</v>
      </c>
    </row>
    <row r="164" spans="1:23" ht="12" customHeight="1">
      <c r="A164" s="63">
        <v>162</v>
      </c>
      <c r="B164" s="63">
        <v>33</v>
      </c>
      <c r="C164" s="63">
        <v>7</v>
      </c>
      <c r="D164" s="63">
        <v>8</v>
      </c>
      <c r="E164" s="63">
        <v>2</v>
      </c>
      <c r="G164" s="63">
        <v>162</v>
      </c>
      <c r="H164" s="63">
        <v>33</v>
      </c>
      <c r="I164" s="63">
        <v>6</v>
      </c>
      <c r="J164" s="63">
        <v>2</v>
      </c>
      <c r="K164" s="63">
        <v>2</v>
      </c>
      <c r="M164" s="63">
        <v>162</v>
      </c>
      <c r="N164" s="63">
        <v>33</v>
      </c>
      <c r="O164" s="63">
        <v>1</v>
      </c>
      <c r="P164" s="63">
        <v>5</v>
      </c>
      <c r="Q164" s="63">
        <v>2</v>
      </c>
      <c r="S164" s="63">
        <v>162</v>
      </c>
      <c r="T164" s="63">
        <f t="shared" si="5"/>
        <v>33</v>
      </c>
      <c r="U164" s="63">
        <f t="shared" si="4"/>
        <v>0</v>
      </c>
      <c r="V164" s="63">
        <f>VLOOKUP(T164,$AA$2:$AC$68,3,FALSE)</f>
        <v>0</v>
      </c>
      <c r="W164" s="63">
        <v>2</v>
      </c>
    </row>
    <row r="165" spans="1:23" ht="12" customHeight="1">
      <c r="A165" s="63">
        <v>163</v>
      </c>
      <c r="B165" s="63">
        <v>33</v>
      </c>
      <c r="C165" s="63">
        <v>7</v>
      </c>
      <c r="D165" s="63">
        <v>8</v>
      </c>
      <c r="E165" s="63">
        <v>3</v>
      </c>
      <c r="G165" s="63">
        <v>163</v>
      </c>
      <c r="H165" s="63">
        <v>33</v>
      </c>
      <c r="I165" s="63">
        <v>6</v>
      </c>
      <c r="J165" s="63">
        <v>2</v>
      </c>
      <c r="K165" s="63">
        <v>3</v>
      </c>
      <c r="M165" s="63">
        <v>163</v>
      </c>
      <c r="N165" s="63">
        <v>33</v>
      </c>
      <c r="O165" s="63">
        <v>1</v>
      </c>
      <c r="P165" s="63">
        <v>5</v>
      </c>
      <c r="Q165" s="63">
        <v>3</v>
      </c>
      <c r="S165" s="63">
        <v>163</v>
      </c>
      <c r="T165" s="63">
        <f t="shared" si="5"/>
        <v>33</v>
      </c>
      <c r="U165" s="63">
        <f t="shared" si="4"/>
        <v>0</v>
      </c>
      <c r="V165" s="63">
        <f>VLOOKUP(T165,$AA$2:$AC$68,3,FALSE)</f>
        <v>0</v>
      </c>
      <c r="W165" s="63">
        <v>3</v>
      </c>
    </row>
    <row r="166" spans="1:23" ht="12" customHeight="1">
      <c r="A166" s="63">
        <v>164</v>
      </c>
      <c r="B166" s="63">
        <v>33</v>
      </c>
      <c r="C166" s="63">
        <v>7</v>
      </c>
      <c r="D166" s="63">
        <v>8</v>
      </c>
      <c r="E166" s="63">
        <v>4</v>
      </c>
      <c r="G166" s="63">
        <v>164</v>
      </c>
      <c r="H166" s="63">
        <v>33</v>
      </c>
      <c r="I166" s="63">
        <v>6</v>
      </c>
      <c r="J166" s="63">
        <v>2</v>
      </c>
      <c r="K166" s="63">
        <v>4</v>
      </c>
      <c r="M166" s="63">
        <v>164</v>
      </c>
      <c r="N166" s="63">
        <v>33</v>
      </c>
      <c r="O166" s="63">
        <v>1</v>
      </c>
      <c r="P166" s="63">
        <v>5</v>
      </c>
      <c r="Q166" s="63">
        <v>4</v>
      </c>
      <c r="S166" s="63">
        <v>164</v>
      </c>
      <c r="T166" s="63">
        <f t="shared" si="5"/>
        <v>33</v>
      </c>
      <c r="U166" s="63">
        <f t="shared" si="4"/>
        <v>0</v>
      </c>
      <c r="V166" s="63">
        <f>VLOOKUP(T166,$AA$2:$AC$68,3,FALSE)</f>
        <v>0</v>
      </c>
      <c r="W166" s="63">
        <v>4</v>
      </c>
    </row>
    <row r="167" spans="1:23" ht="12" customHeight="1">
      <c r="A167" s="63">
        <v>165</v>
      </c>
      <c r="B167" s="63">
        <v>33</v>
      </c>
      <c r="C167" s="63">
        <v>7</v>
      </c>
      <c r="D167" s="63">
        <v>8</v>
      </c>
      <c r="E167" s="63">
        <v>5</v>
      </c>
      <c r="G167" s="63">
        <v>165</v>
      </c>
      <c r="H167" s="63">
        <v>33</v>
      </c>
      <c r="I167" s="63">
        <v>6</v>
      </c>
      <c r="J167" s="63">
        <v>2</v>
      </c>
      <c r="K167" s="63">
        <v>5</v>
      </c>
      <c r="M167" s="63">
        <v>165</v>
      </c>
      <c r="N167" s="63">
        <v>33</v>
      </c>
      <c r="O167" s="63">
        <v>1</v>
      </c>
      <c r="P167" s="63">
        <v>5</v>
      </c>
      <c r="Q167" s="63">
        <v>5</v>
      </c>
      <c r="S167" s="63">
        <v>165</v>
      </c>
      <c r="T167" s="63">
        <f t="shared" si="5"/>
        <v>33</v>
      </c>
      <c r="U167" s="63">
        <f t="shared" si="4"/>
        <v>0</v>
      </c>
      <c r="V167" s="63">
        <f>VLOOKUP(T167,$AA$2:$AC$68,3,FALSE)</f>
        <v>0</v>
      </c>
      <c r="W167" s="63">
        <v>5</v>
      </c>
    </row>
    <row r="168" spans="1:23" ht="12" customHeight="1">
      <c r="A168" s="64">
        <v>166</v>
      </c>
      <c r="B168" s="64">
        <v>34</v>
      </c>
      <c r="C168" s="64">
        <v>5</v>
      </c>
      <c r="D168" s="64">
        <v>6</v>
      </c>
      <c r="E168" s="64">
        <v>1</v>
      </c>
      <c r="G168" s="64">
        <v>166</v>
      </c>
      <c r="H168" s="64">
        <v>34</v>
      </c>
      <c r="I168" s="64">
        <v>5</v>
      </c>
      <c r="J168" s="64">
        <v>3</v>
      </c>
      <c r="K168" s="64">
        <v>1</v>
      </c>
      <c r="M168" s="64">
        <v>166</v>
      </c>
      <c r="N168" s="64">
        <v>34</v>
      </c>
      <c r="O168" s="64">
        <v>8</v>
      </c>
      <c r="P168" s="64">
        <v>10</v>
      </c>
      <c r="Q168" s="64">
        <v>1</v>
      </c>
      <c r="S168" s="64">
        <v>166</v>
      </c>
      <c r="T168" s="64">
        <f t="shared" si="5"/>
        <v>34</v>
      </c>
      <c r="U168" s="64">
        <f t="shared" si="4"/>
        <v>0</v>
      </c>
      <c r="V168" s="64">
        <f>VLOOKUP(T168,$AA$3:$AC$68,3,FALSE)</f>
        <v>0</v>
      </c>
      <c r="W168" s="64">
        <v>1</v>
      </c>
    </row>
    <row r="169" spans="1:23" ht="12" customHeight="1">
      <c r="A169" s="64">
        <v>167</v>
      </c>
      <c r="B169" s="64">
        <v>34</v>
      </c>
      <c r="C169" s="64">
        <v>5</v>
      </c>
      <c r="D169" s="64">
        <v>6</v>
      </c>
      <c r="E169" s="64">
        <v>2</v>
      </c>
      <c r="G169" s="64">
        <v>167</v>
      </c>
      <c r="H169" s="64">
        <v>34</v>
      </c>
      <c r="I169" s="64">
        <v>5</v>
      </c>
      <c r="J169" s="64">
        <v>3</v>
      </c>
      <c r="K169" s="64">
        <v>2</v>
      </c>
      <c r="M169" s="64">
        <v>167</v>
      </c>
      <c r="N169" s="64">
        <v>34</v>
      </c>
      <c r="O169" s="64">
        <v>8</v>
      </c>
      <c r="P169" s="64">
        <v>10</v>
      </c>
      <c r="Q169" s="64">
        <v>2</v>
      </c>
      <c r="S169" s="64">
        <v>167</v>
      </c>
      <c r="T169" s="64">
        <f t="shared" si="5"/>
        <v>34</v>
      </c>
      <c r="U169" s="64">
        <f t="shared" si="4"/>
        <v>0</v>
      </c>
      <c r="V169" s="64">
        <f>VLOOKUP(T169,$AA$3:$AC$68,3,FALSE)</f>
        <v>0</v>
      </c>
      <c r="W169" s="64">
        <v>2</v>
      </c>
    </row>
    <row r="170" spans="1:23" ht="12" customHeight="1">
      <c r="A170" s="64">
        <v>168</v>
      </c>
      <c r="B170" s="64">
        <v>34</v>
      </c>
      <c r="C170" s="64">
        <v>5</v>
      </c>
      <c r="D170" s="64">
        <v>6</v>
      </c>
      <c r="E170" s="64">
        <v>3</v>
      </c>
      <c r="G170" s="64">
        <v>168</v>
      </c>
      <c r="H170" s="64">
        <v>34</v>
      </c>
      <c r="I170" s="64">
        <v>5</v>
      </c>
      <c r="J170" s="64">
        <v>3</v>
      </c>
      <c r="K170" s="64">
        <v>3</v>
      </c>
      <c r="M170" s="64">
        <v>168</v>
      </c>
      <c r="N170" s="64">
        <v>34</v>
      </c>
      <c r="O170" s="64">
        <v>8</v>
      </c>
      <c r="P170" s="64">
        <v>10</v>
      </c>
      <c r="Q170" s="64">
        <v>3</v>
      </c>
      <c r="S170" s="64">
        <v>168</v>
      </c>
      <c r="T170" s="64">
        <f t="shared" si="5"/>
        <v>34</v>
      </c>
      <c r="U170" s="64">
        <f t="shared" si="4"/>
        <v>0</v>
      </c>
      <c r="V170" s="64">
        <f>VLOOKUP(T170,$AA$3:$AC$68,3,FALSE)</f>
        <v>0</v>
      </c>
      <c r="W170" s="64">
        <v>3</v>
      </c>
    </row>
    <row r="171" spans="1:23" ht="12" customHeight="1">
      <c r="A171" s="64">
        <v>169</v>
      </c>
      <c r="B171" s="64">
        <v>34</v>
      </c>
      <c r="C171" s="64">
        <v>5</v>
      </c>
      <c r="D171" s="64">
        <v>6</v>
      </c>
      <c r="E171" s="64">
        <v>4</v>
      </c>
      <c r="G171" s="64">
        <v>169</v>
      </c>
      <c r="H171" s="64">
        <v>34</v>
      </c>
      <c r="I171" s="64">
        <v>5</v>
      </c>
      <c r="J171" s="64">
        <v>3</v>
      </c>
      <c r="K171" s="64">
        <v>4</v>
      </c>
      <c r="M171" s="64">
        <v>169</v>
      </c>
      <c r="N171" s="64">
        <v>34</v>
      </c>
      <c r="O171" s="64">
        <v>8</v>
      </c>
      <c r="P171" s="64">
        <v>10</v>
      </c>
      <c r="Q171" s="64">
        <v>4</v>
      </c>
      <c r="S171" s="64">
        <v>169</v>
      </c>
      <c r="T171" s="64">
        <f t="shared" si="5"/>
        <v>34</v>
      </c>
      <c r="U171" s="64">
        <f t="shared" si="4"/>
        <v>0</v>
      </c>
      <c r="V171" s="64">
        <f>VLOOKUP(T171,$AA$3:$AC$68,3,FALSE)</f>
        <v>0</v>
      </c>
      <c r="W171" s="64">
        <v>4</v>
      </c>
    </row>
    <row r="172" spans="1:23" ht="12" customHeight="1">
      <c r="A172" s="64">
        <v>170</v>
      </c>
      <c r="B172" s="64">
        <v>34</v>
      </c>
      <c r="C172" s="64">
        <v>5</v>
      </c>
      <c r="D172" s="64">
        <v>6</v>
      </c>
      <c r="E172" s="64">
        <v>5</v>
      </c>
      <c r="G172" s="64">
        <v>170</v>
      </c>
      <c r="H172" s="64">
        <v>34</v>
      </c>
      <c r="I172" s="64">
        <v>5</v>
      </c>
      <c r="J172" s="64">
        <v>3</v>
      </c>
      <c r="K172" s="64">
        <v>5</v>
      </c>
      <c r="M172" s="64">
        <v>170</v>
      </c>
      <c r="N172" s="64">
        <v>34</v>
      </c>
      <c r="O172" s="64">
        <v>8</v>
      </c>
      <c r="P172" s="64">
        <v>10</v>
      </c>
      <c r="Q172" s="64">
        <v>5</v>
      </c>
      <c r="S172" s="64">
        <v>170</v>
      </c>
      <c r="T172" s="64">
        <f t="shared" si="5"/>
        <v>34</v>
      </c>
      <c r="U172" s="64">
        <f t="shared" si="4"/>
        <v>0</v>
      </c>
      <c r="V172" s="64">
        <f>VLOOKUP(T172,$AA$3:$AC$68,3,FALSE)</f>
        <v>0</v>
      </c>
      <c r="W172" s="64">
        <v>5</v>
      </c>
    </row>
    <row r="173" spans="1:23" ht="12" customHeight="1">
      <c r="A173" s="63">
        <v>171</v>
      </c>
      <c r="B173" s="63">
        <v>35</v>
      </c>
      <c r="C173" s="63">
        <v>3</v>
      </c>
      <c r="D173" s="63">
        <v>4</v>
      </c>
      <c r="E173" s="63">
        <v>1</v>
      </c>
      <c r="G173" s="63">
        <v>171</v>
      </c>
      <c r="H173" s="63">
        <v>35</v>
      </c>
      <c r="I173" s="63">
        <v>1</v>
      </c>
      <c r="J173" s="63">
        <v>4</v>
      </c>
      <c r="K173" s="63">
        <v>1</v>
      </c>
      <c r="M173" s="63">
        <v>171</v>
      </c>
      <c r="N173" s="63">
        <v>35</v>
      </c>
      <c r="O173" s="63">
        <v>6</v>
      </c>
      <c r="P173" s="63">
        <v>11</v>
      </c>
      <c r="Q173" s="63">
        <v>1</v>
      </c>
      <c r="S173" s="63">
        <v>171</v>
      </c>
      <c r="T173" s="63">
        <f t="shared" si="5"/>
        <v>35</v>
      </c>
      <c r="U173" s="63">
        <f t="shared" si="4"/>
        <v>0</v>
      </c>
      <c r="V173" s="63">
        <f>VLOOKUP(T173,$AA$2:$AC$68,3,FALSE)</f>
        <v>0</v>
      </c>
      <c r="W173" s="63">
        <v>1</v>
      </c>
    </row>
    <row r="174" spans="1:23" ht="12" customHeight="1">
      <c r="A174" s="63">
        <v>172</v>
      </c>
      <c r="B174" s="63">
        <v>35</v>
      </c>
      <c r="C174" s="63">
        <v>3</v>
      </c>
      <c r="D174" s="63">
        <v>4</v>
      </c>
      <c r="E174" s="63">
        <v>2</v>
      </c>
      <c r="G174" s="63">
        <v>172</v>
      </c>
      <c r="H174" s="63">
        <v>35</v>
      </c>
      <c r="I174" s="63">
        <v>1</v>
      </c>
      <c r="J174" s="63">
        <v>4</v>
      </c>
      <c r="K174" s="63">
        <v>2</v>
      </c>
      <c r="M174" s="63">
        <v>172</v>
      </c>
      <c r="N174" s="63">
        <v>35</v>
      </c>
      <c r="O174" s="63">
        <v>6</v>
      </c>
      <c r="P174" s="63">
        <v>11</v>
      </c>
      <c r="Q174" s="63">
        <v>2</v>
      </c>
      <c r="S174" s="63">
        <v>172</v>
      </c>
      <c r="T174" s="63">
        <f t="shared" si="5"/>
        <v>35</v>
      </c>
      <c r="U174" s="63">
        <f t="shared" si="4"/>
        <v>0</v>
      </c>
      <c r="V174" s="63">
        <f>VLOOKUP(T174,$AA$2:$AC$68,3,FALSE)</f>
        <v>0</v>
      </c>
      <c r="W174" s="63">
        <v>2</v>
      </c>
    </row>
    <row r="175" spans="1:23" ht="12" customHeight="1">
      <c r="A175" s="63">
        <v>173</v>
      </c>
      <c r="B175" s="63">
        <v>35</v>
      </c>
      <c r="C175" s="63">
        <v>3</v>
      </c>
      <c r="D175" s="63">
        <v>4</v>
      </c>
      <c r="E175" s="63">
        <v>3</v>
      </c>
      <c r="G175" s="63">
        <v>173</v>
      </c>
      <c r="H175" s="63">
        <v>35</v>
      </c>
      <c r="I175" s="63">
        <v>1</v>
      </c>
      <c r="J175" s="63">
        <v>4</v>
      </c>
      <c r="K175" s="63">
        <v>3</v>
      </c>
      <c r="M175" s="63">
        <v>173</v>
      </c>
      <c r="N175" s="63">
        <v>35</v>
      </c>
      <c r="O175" s="63">
        <v>6</v>
      </c>
      <c r="P175" s="63">
        <v>11</v>
      </c>
      <c r="Q175" s="63">
        <v>3</v>
      </c>
      <c r="S175" s="63">
        <v>173</v>
      </c>
      <c r="T175" s="63">
        <f t="shared" si="5"/>
        <v>35</v>
      </c>
      <c r="U175" s="63">
        <f t="shared" si="4"/>
        <v>0</v>
      </c>
      <c r="V175" s="63">
        <f>VLOOKUP(T175,$AA$2:$AC$68,3,FALSE)</f>
        <v>0</v>
      </c>
      <c r="W175" s="63">
        <v>3</v>
      </c>
    </row>
    <row r="176" spans="1:23" ht="12" customHeight="1">
      <c r="A176" s="63">
        <v>174</v>
      </c>
      <c r="B176" s="63">
        <v>35</v>
      </c>
      <c r="C176" s="63">
        <v>3</v>
      </c>
      <c r="D176" s="63">
        <v>4</v>
      </c>
      <c r="E176" s="63">
        <v>4</v>
      </c>
      <c r="G176" s="63">
        <v>174</v>
      </c>
      <c r="H176" s="63">
        <v>35</v>
      </c>
      <c r="I176" s="63">
        <v>1</v>
      </c>
      <c r="J176" s="63">
        <v>4</v>
      </c>
      <c r="K176" s="63">
        <v>4</v>
      </c>
      <c r="M176" s="63">
        <v>174</v>
      </c>
      <c r="N176" s="63">
        <v>35</v>
      </c>
      <c r="O176" s="63">
        <v>6</v>
      </c>
      <c r="P176" s="63">
        <v>11</v>
      </c>
      <c r="Q176" s="63">
        <v>4</v>
      </c>
      <c r="S176" s="63">
        <v>174</v>
      </c>
      <c r="T176" s="63">
        <f t="shared" si="5"/>
        <v>35</v>
      </c>
      <c r="U176" s="63">
        <f t="shared" si="4"/>
        <v>0</v>
      </c>
      <c r="V176" s="63">
        <f>VLOOKUP(T176,$AA$2:$AC$68,3,FALSE)</f>
        <v>0</v>
      </c>
      <c r="W176" s="63">
        <v>4</v>
      </c>
    </row>
    <row r="177" spans="1:23" ht="12" customHeight="1">
      <c r="A177" s="63">
        <v>175</v>
      </c>
      <c r="B177" s="63">
        <v>35</v>
      </c>
      <c r="C177" s="63">
        <v>3</v>
      </c>
      <c r="D177" s="63">
        <v>4</v>
      </c>
      <c r="E177" s="63">
        <v>5</v>
      </c>
      <c r="G177" s="63">
        <v>175</v>
      </c>
      <c r="H177" s="63">
        <v>35</v>
      </c>
      <c r="I177" s="63">
        <v>1</v>
      </c>
      <c r="J177" s="63">
        <v>4</v>
      </c>
      <c r="K177" s="63">
        <v>5</v>
      </c>
      <c r="M177" s="63">
        <v>175</v>
      </c>
      <c r="N177" s="63">
        <v>35</v>
      </c>
      <c r="O177" s="63">
        <v>6</v>
      </c>
      <c r="P177" s="63">
        <v>11</v>
      </c>
      <c r="Q177" s="63">
        <v>5</v>
      </c>
      <c r="S177" s="63">
        <v>175</v>
      </c>
      <c r="T177" s="63">
        <f t="shared" si="5"/>
        <v>35</v>
      </c>
      <c r="U177" s="63">
        <f t="shared" si="4"/>
        <v>0</v>
      </c>
      <c r="V177" s="63">
        <f>VLOOKUP(T177,$AA$2:$AC$68,3,FALSE)</f>
        <v>0</v>
      </c>
      <c r="W177" s="63">
        <v>5</v>
      </c>
    </row>
    <row r="178" spans="1:23" ht="12" customHeight="1">
      <c r="A178" s="64">
        <v>176</v>
      </c>
      <c r="B178" s="64">
        <v>36</v>
      </c>
      <c r="C178" s="64">
        <v>1</v>
      </c>
      <c r="D178" s="64">
        <v>2</v>
      </c>
      <c r="E178" s="64">
        <v>1</v>
      </c>
      <c r="G178" s="64">
        <v>176</v>
      </c>
      <c r="H178" s="64">
        <v>36</v>
      </c>
      <c r="I178" s="64">
        <v>7</v>
      </c>
      <c r="J178" s="64">
        <v>8</v>
      </c>
      <c r="K178" s="64">
        <v>1</v>
      </c>
      <c r="M178" s="64">
        <v>176</v>
      </c>
      <c r="N178" s="64">
        <v>36</v>
      </c>
      <c r="O178" s="64">
        <v>4</v>
      </c>
      <c r="P178" s="64">
        <v>9</v>
      </c>
      <c r="Q178" s="64">
        <v>1</v>
      </c>
      <c r="S178" s="64">
        <v>176</v>
      </c>
      <c r="T178" s="64">
        <f t="shared" si="5"/>
        <v>36</v>
      </c>
      <c r="U178" s="64">
        <f t="shared" si="4"/>
        <v>0</v>
      </c>
      <c r="V178" s="64">
        <f>VLOOKUP(T178,$AA$3:$AC$68,3,FALSE)</f>
        <v>0</v>
      </c>
      <c r="W178" s="64">
        <v>1</v>
      </c>
    </row>
    <row r="179" spans="1:23" ht="12" customHeight="1">
      <c r="A179" s="64">
        <v>177</v>
      </c>
      <c r="B179" s="64">
        <v>36</v>
      </c>
      <c r="C179" s="64">
        <v>1</v>
      </c>
      <c r="D179" s="64">
        <v>2</v>
      </c>
      <c r="E179" s="64">
        <v>2</v>
      </c>
      <c r="G179" s="64">
        <v>177</v>
      </c>
      <c r="H179" s="64">
        <v>36</v>
      </c>
      <c r="I179" s="64">
        <v>7</v>
      </c>
      <c r="J179" s="64">
        <v>8</v>
      </c>
      <c r="K179" s="64">
        <v>2</v>
      </c>
      <c r="M179" s="64">
        <v>177</v>
      </c>
      <c r="N179" s="64">
        <v>36</v>
      </c>
      <c r="O179" s="64">
        <v>4</v>
      </c>
      <c r="P179" s="64">
        <v>9</v>
      </c>
      <c r="Q179" s="64">
        <v>2</v>
      </c>
      <c r="S179" s="64">
        <v>177</v>
      </c>
      <c r="T179" s="64">
        <f t="shared" si="5"/>
        <v>36</v>
      </c>
      <c r="U179" s="64">
        <f t="shared" si="4"/>
        <v>0</v>
      </c>
      <c r="V179" s="64">
        <f>VLOOKUP(T179,$AA$3:$AC$68,3,FALSE)</f>
        <v>0</v>
      </c>
      <c r="W179" s="64">
        <v>2</v>
      </c>
    </row>
    <row r="180" spans="1:23" ht="12" customHeight="1">
      <c r="A180" s="64">
        <v>178</v>
      </c>
      <c r="B180" s="64">
        <v>36</v>
      </c>
      <c r="C180" s="64">
        <v>1</v>
      </c>
      <c r="D180" s="64">
        <v>2</v>
      </c>
      <c r="E180" s="64">
        <v>3</v>
      </c>
      <c r="G180" s="64">
        <v>178</v>
      </c>
      <c r="H180" s="64">
        <v>36</v>
      </c>
      <c r="I180" s="64">
        <v>7</v>
      </c>
      <c r="J180" s="64">
        <v>8</v>
      </c>
      <c r="K180" s="64">
        <v>3</v>
      </c>
      <c r="M180" s="64">
        <v>178</v>
      </c>
      <c r="N180" s="64">
        <v>36</v>
      </c>
      <c r="O180" s="64">
        <v>4</v>
      </c>
      <c r="P180" s="64">
        <v>9</v>
      </c>
      <c r="Q180" s="64">
        <v>3</v>
      </c>
      <c r="S180" s="64">
        <v>178</v>
      </c>
      <c r="T180" s="64">
        <f t="shared" si="5"/>
        <v>36</v>
      </c>
      <c r="U180" s="64">
        <f t="shared" si="4"/>
        <v>0</v>
      </c>
      <c r="V180" s="64">
        <f>VLOOKUP(T180,$AA$3:$AC$68,3,FALSE)</f>
        <v>0</v>
      </c>
      <c r="W180" s="64">
        <v>3</v>
      </c>
    </row>
    <row r="181" spans="1:23" ht="12" customHeight="1">
      <c r="A181" s="64">
        <v>179</v>
      </c>
      <c r="B181" s="64">
        <v>36</v>
      </c>
      <c r="C181" s="64">
        <v>1</v>
      </c>
      <c r="D181" s="64">
        <v>2</v>
      </c>
      <c r="E181" s="64">
        <v>4</v>
      </c>
      <c r="G181" s="64">
        <v>179</v>
      </c>
      <c r="H181" s="64">
        <v>36</v>
      </c>
      <c r="I181" s="64">
        <v>7</v>
      </c>
      <c r="J181" s="64">
        <v>8</v>
      </c>
      <c r="K181" s="64">
        <v>4</v>
      </c>
      <c r="M181" s="64">
        <v>179</v>
      </c>
      <c r="N181" s="64">
        <v>36</v>
      </c>
      <c r="O181" s="64">
        <v>4</v>
      </c>
      <c r="P181" s="64">
        <v>9</v>
      </c>
      <c r="Q181" s="64">
        <v>4</v>
      </c>
      <c r="S181" s="64">
        <v>179</v>
      </c>
      <c r="T181" s="64">
        <f t="shared" si="5"/>
        <v>36</v>
      </c>
      <c r="U181" s="64">
        <f t="shared" si="4"/>
        <v>0</v>
      </c>
      <c r="V181" s="64">
        <f>VLOOKUP(T181,$AA$3:$AC$68,3,FALSE)</f>
        <v>0</v>
      </c>
      <c r="W181" s="64">
        <v>4</v>
      </c>
    </row>
    <row r="182" spans="1:23" ht="12" customHeight="1">
      <c r="A182" s="64">
        <v>180</v>
      </c>
      <c r="B182" s="64">
        <v>36</v>
      </c>
      <c r="C182" s="64">
        <v>1</v>
      </c>
      <c r="D182" s="64">
        <v>2</v>
      </c>
      <c r="E182" s="64">
        <v>5</v>
      </c>
      <c r="G182" s="64">
        <v>180</v>
      </c>
      <c r="H182" s="64">
        <v>36</v>
      </c>
      <c r="I182" s="64">
        <v>7</v>
      </c>
      <c r="J182" s="64">
        <v>8</v>
      </c>
      <c r="K182" s="64">
        <v>5</v>
      </c>
      <c r="M182" s="64">
        <v>180</v>
      </c>
      <c r="N182" s="64">
        <v>36</v>
      </c>
      <c r="O182" s="64">
        <v>4</v>
      </c>
      <c r="P182" s="64">
        <v>9</v>
      </c>
      <c r="Q182" s="64">
        <v>5</v>
      </c>
      <c r="S182" s="64">
        <v>180</v>
      </c>
      <c r="T182" s="64">
        <f t="shared" si="5"/>
        <v>36</v>
      </c>
      <c r="U182" s="64">
        <f t="shared" si="4"/>
        <v>0</v>
      </c>
      <c r="V182" s="64">
        <f>VLOOKUP(T182,$AA$3:$AC$68,3,FALSE)</f>
        <v>0</v>
      </c>
      <c r="W182" s="64">
        <v>5</v>
      </c>
    </row>
    <row r="183" spans="7:23" ht="12" customHeight="1">
      <c r="G183" s="63">
        <v>181</v>
      </c>
      <c r="H183" s="63">
        <v>37</v>
      </c>
      <c r="I183" s="63">
        <v>6</v>
      </c>
      <c r="J183" s="63">
        <v>9</v>
      </c>
      <c r="K183" s="63">
        <v>1</v>
      </c>
      <c r="M183" s="63">
        <v>181</v>
      </c>
      <c r="N183" s="63">
        <v>37</v>
      </c>
      <c r="O183" s="63">
        <v>2</v>
      </c>
      <c r="P183" s="63">
        <v>7</v>
      </c>
      <c r="Q183" s="63">
        <v>1</v>
      </c>
      <c r="S183" s="63">
        <v>181</v>
      </c>
      <c r="T183" s="63">
        <f t="shared" si="5"/>
        <v>37</v>
      </c>
      <c r="U183" s="63">
        <f t="shared" si="4"/>
        <v>0</v>
      </c>
      <c r="V183" s="63">
        <f>VLOOKUP(T183,$AA$2:$AC$68,3,FALSE)</f>
        <v>0</v>
      </c>
      <c r="W183" s="63">
        <v>1</v>
      </c>
    </row>
    <row r="184" spans="7:23" ht="12" customHeight="1">
      <c r="G184" s="63">
        <v>182</v>
      </c>
      <c r="H184" s="63">
        <v>37</v>
      </c>
      <c r="I184" s="63">
        <v>6</v>
      </c>
      <c r="J184" s="63">
        <v>9</v>
      </c>
      <c r="K184" s="63">
        <v>2</v>
      </c>
      <c r="M184" s="63">
        <v>182</v>
      </c>
      <c r="N184" s="63">
        <v>37</v>
      </c>
      <c r="O184" s="63">
        <v>2</v>
      </c>
      <c r="P184" s="63">
        <v>7</v>
      </c>
      <c r="Q184" s="63">
        <v>2</v>
      </c>
      <c r="S184" s="63">
        <v>182</v>
      </c>
      <c r="T184" s="63">
        <f t="shared" si="5"/>
        <v>37</v>
      </c>
      <c r="U184" s="63">
        <f t="shared" si="4"/>
        <v>0</v>
      </c>
      <c r="V184" s="63">
        <f>VLOOKUP(T184,$AA$2:$AC$68,3,FALSE)</f>
        <v>0</v>
      </c>
      <c r="W184" s="63">
        <v>2</v>
      </c>
    </row>
    <row r="185" spans="7:23" ht="12" customHeight="1">
      <c r="G185" s="63">
        <v>183</v>
      </c>
      <c r="H185" s="63">
        <v>37</v>
      </c>
      <c r="I185" s="63">
        <v>6</v>
      </c>
      <c r="J185" s="63">
        <v>9</v>
      </c>
      <c r="K185" s="63">
        <v>3</v>
      </c>
      <c r="M185" s="63">
        <v>183</v>
      </c>
      <c r="N185" s="63">
        <v>37</v>
      </c>
      <c r="O185" s="63">
        <v>2</v>
      </c>
      <c r="P185" s="63">
        <v>7</v>
      </c>
      <c r="Q185" s="63">
        <v>3</v>
      </c>
      <c r="S185" s="63">
        <v>183</v>
      </c>
      <c r="T185" s="63">
        <f t="shared" si="5"/>
        <v>37</v>
      </c>
      <c r="U185" s="63">
        <f t="shared" si="4"/>
        <v>0</v>
      </c>
      <c r="V185" s="63">
        <f>VLOOKUP(T185,$AA$2:$AC$68,3,FALSE)</f>
        <v>0</v>
      </c>
      <c r="W185" s="63">
        <v>3</v>
      </c>
    </row>
    <row r="186" spans="7:23" ht="12" customHeight="1">
      <c r="G186" s="63">
        <v>184</v>
      </c>
      <c r="H186" s="63">
        <v>37</v>
      </c>
      <c r="I186" s="63">
        <v>6</v>
      </c>
      <c r="J186" s="63">
        <v>9</v>
      </c>
      <c r="K186" s="63">
        <v>4</v>
      </c>
      <c r="M186" s="63">
        <v>184</v>
      </c>
      <c r="N186" s="63">
        <v>37</v>
      </c>
      <c r="O186" s="63">
        <v>2</v>
      </c>
      <c r="P186" s="63">
        <v>7</v>
      </c>
      <c r="Q186" s="63">
        <v>4</v>
      </c>
      <c r="S186" s="63">
        <v>184</v>
      </c>
      <c r="T186" s="63">
        <f t="shared" si="5"/>
        <v>37</v>
      </c>
      <c r="U186" s="63">
        <f t="shared" si="4"/>
        <v>0</v>
      </c>
      <c r="V186" s="63">
        <f>VLOOKUP(T186,$AA$2:$AC$68,3,FALSE)</f>
        <v>0</v>
      </c>
      <c r="W186" s="63">
        <v>4</v>
      </c>
    </row>
    <row r="187" spans="7:23" ht="12" customHeight="1">
      <c r="G187" s="63">
        <v>185</v>
      </c>
      <c r="H187" s="63">
        <v>37</v>
      </c>
      <c r="I187" s="63">
        <v>6</v>
      </c>
      <c r="J187" s="63">
        <v>9</v>
      </c>
      <c r="K187" s="63">
        <v>5</v>
      </c>
      <c r="M187" s="63">
        <v>185</v>
      </c>
      <c r="N187" s="63">
        <v>37</v>
      </c>
      <c r="O187" s="63">
        <v>2</v>
      </c>
      <c r="P187" s="63">
        <v>7</v>
      </c>
      <c r="Q187" s="63">
        <v>5</v>
      </c>
      <c r="S187" s="63">
        <v>185</v>
      </c>
      <c r="T187" s="63">
        <f t="shared" si="5"/>
        <v>37</v>
      </c>
      <c r="U187" s="63">
        <f t="shared" si="4"/>
        <v>0</v>
      </c>
      <c r="V187" s="63">
        <f>VLOOKUP(T187,$AA$2:$AC$68,3,FALSE)</f>
        <v>0</v>
      </c>
      <c r="W187" s="63">
        <v>5</v>
      </c>
    </row>
    <row r="188" spans="7:23" ht="12" customHeight="1">
      <c r="G188" s="64">
        <v>186</v>
      </c>
      <c r="H188" s="64">
        <v>38</v>
      </c>
      <c r="I188" s="64">
        <v>5</v>
      </c>
      <c r="J188" s="64">
        <v>10</v>
      </c>
      <c r="K188" s="64">
        <v>1</v>
      </c>
      <c r="M188" s="64">
        <v>186</v>
      </c>
      <c r="N188" s="64">
        <v>38</v>
      </c>
      <c r="O188" s="64">
        <v>3</v>
      </c>
      <c r="P188" s="64">
        <v>5</v>
      </c>
      <c r="Q188" s="64">
        <v>1</v>
      </c>
      <c r="S188" s="64">
        <v>186</v>
      </c>
      <c r="T188" s="64">
        <f t="shared" si="5"/>
        <v>38</v>
      </c>
      <c r="U188" s="64">
        <f t="shared" si="4"/>
        <v>0</v>
      </c>
      <c r="V188" s="64">
        <f>VLOOKUP(T188,$AA$3:$AC$68,3,FALSE)</f>
        <v>0</v>
      </c>
      <c r="W188" s="64">
        <v>1</v>
      </c>
    </row>
    <row r="189" spans="7:23" ht="12" customHeight="1">
      <c r="G189" s="64">
        <v>187</v>
      </c>
      <c r="H189" s="64">
        <v>38</v>
      </c>
      <c r="I189" s="64">
        <v>5</v>
      </c>
      <c r="J189" s="64">
        <v>10</v>
      </c>
      <c r="K189" s="64">
        <v>2</v>
      </c>
      <c r="M189" s="64">
        <v>187</v>
      </c>
      <c r="N189" s="64">
        <v>38</v>
      </c>
      <c r="O189" s="64">
        <v>3</v>
      </c>
      <c r="P189" s="64">
        <v>5</v>
      </c>
      <c r="Q189" s="64">
        <v>2</v>
      </c>
      <c r="S189" s="64">
        <v>187</v>
      </c>
      <c r="T189" s="64">
        <f t="shared" si="5"/>
        <v>38</v>
      </c>
      <c r="U189" s="64">
        <f t="shared" si="4"/>
        <v>0</v>
      </c>
      <c r="V189" s="64">
        <f>VLOOKUP(T189,$AA$3:$AC$68,3,FALSE)</f>
        <v>0</v>
      </c>
      <c r="W189" s="64">
        <v>2</v>
      </c>
    </row>
    <row r="190" spans="7:23" ht="12" customHeight="1">
      <c r="G190" s="64">
        <v>188</v>
      </c>
      <c r="H190" s="64">
        <v>38</v>
      </c>
      <c r="I190" s="64">
        <v>5</v>
      </c>
      <c r="J190" s="64">
        <v>10</v>
      </c>
      <c r="K190" s="64">
        <v>3</v>
      </c>
      <c r="M190" s="64">
        <v>188</v>
      </c>
      <c r="N190" s="64">
        <v>38</v>
      </c>
      <c r="O190" s="64">
        <v>3</v>
      </c>
      <c r="P190" s="64">
        <v>5</v>
      </c>
      <c r="Q190" s="64">
        <v>3</v>
      </c>
      <c r="S190" s="64">
        <v>188</v>
      </c>
      <c r="T190" s="64">
        <f t="shared" si="5"/>
        <v>38</v>
      </c>
      <c r="U190" s="64">
        <f t="shared" si="4"/>
        <v>0</v>
      </c>
      <c r="V190" s="64">
        <f>VLOOKUP(T190,$AA$3:$AC$68,3,FALSE)</f>
        <v>0</v>
      </c>
      <c r="W190" s="64">
        <v>3</v>
      </c>
    </row>
    <row r="191" spans="7:23" ht="12" customHeight="1">
      <c r="G191" s="64">
        <v>189</v>
      </c>
      <c r="H191" s="64">
        <v>38</v>
      </c>
      <c r="I191" s="64">
        <v>5</v>
      </c>
      <c r="J191" s="64">
        <v>10</v>
      </c>
      <c r="K191" s="64">
        <v>4</v>
      </c>
      <c r="M191" s="64">
        <v>189</v>
      </c>
      <c r="N191" s="64">
        <v>38</v>
      </c>
      <c r="O191" s="64">
        <v>3</v>
      </c>
      <c r="P191" s="64">
        <v>5</v>
      </c>
      <c r="Q191" s="64">
        <v>4</v>
      </c>
      <c r="S191" s="64">
        <v>189</v>
      </c>
      <c r="T191" s="64">
        <f t="shared" si="5"/>
        <v>38</v>
      </c>
      <c r="U191" s="64">
        <f t="shared" si="4"/>
        <v>0</v>
      </c>
      <c r="V191" s="64">
        <f>VLOOKUP(T191,$AA$3:$AC$68,3,FALSE)</f>
        <v>0</v>
      </c>
      <c r="W191" s="64">
        <v>4</v>
      </c>
    </row>
    <row r="192" spans="7:23" ht="12" customHeight="1">
      <c r="G192" s="64">
        <v>190</v>
      </c>
      <c r="H192" s="64">
        <v>38</v>
      </c>
      <c r="I192" s="64">
        <v>5</v>
      </c>
      <c r="J192" s="64">
        <v>10</v>
      </c>
      <c r="K192" s="64">
        <v>5</v>
      </c>
      <c r="M192" s="64">
        <v>190</v>
      </c>
      <c r="N192" s="64">
        <v>38</v>
      </c>
      <c r="O192" s="64">
        <v>3</v>
      </c>
      <c r="P192" s="64">
        <v>5</v>
      </c>
      <c r="Q192" s="64">
        <v>5</v>
      </c>
      <c r="S192" s="64">
        <v>190</v>
      </c>
      <c r="T192" s="64">
        <f t="shared" si="5"/>
        <v>38</v>
      </c>
      <c r="U192" s="64">
        <f t="shared" si="4"/>
        <v>0</v>
      </c>
      <c r="V192" s="64">
        <f>VLOOKUP(T192,$AA$3:$AC$68,3,FALSE)</f>
        <v>0</v>
      </c>
      <c r="W192" s="64">
        <v>5</v>
      </c>
    </row>
    <row r="193" spans="7:23" ht="12" customHeight="1">
      <c r="G193" s="63">
        <v>191</v>
      </c>
      <c r="H193" s="63">
        <v>39</v>
      </c>
      <c r="I193" s="63">
        <v>4</v>
      </c>
      <c r="J193" s="63">
        <v>2</v>
      </c>
      <c r="K193" s="63">
        <v>1</v>
      </c>
      <c r="M193" s="63">
        <v>191</v>
      </c>
      <c r="N193" s="63">
        <v>39</v>
      </c>
      <c r="O193" s="63">
        <v>10</v>
      </c>
      <c r="P193" s="63">
        <v>1</v>
      </c>
      <c r="Q193" s="63">
        <v>1</v>
      </c>
      <c r="S193" s="63">
        <v>191</v>
      </c>
      <c r="T193" s="63">
        <f t="shared" si="5"/>
        <v>39</v>
      </c>
      <c r="U193" s="63">
        <f t="shared" si="4"/>
        <v>0</v>
      </c>
      <c r="V193" s="63">
        <f>VLOOKUP(T193,$AA$2:$AC$68,3,FALSE)</f>
        <v>0</v>
      </c>
      <c r="W193" s="63">
        <v>1</v>
      </c>
    </row>
    <row r="194" spans="7:23" ht="12" customHeight="1">
      <c r="G194" s="63">
        <v>192</v>
      </c>
      <c r="H194" s="63">
        <v>39</v>
      </c>
      <c r="I194" s="63">
        <v>4</v>
      </c>
      <c r="J194" s="63">
        <v>2</v>
      </c>
      <c r="K194" s="63">
        <v>2</v>
      </c>
      <c r="M194" s="63">
        <v>192</v>
      </c>
      <c r="N194" s="63">
        <v>39</v>
      </c>
      <c r="O194" s="63">
        <v>10</v>
      </c>
      <c r="P194" s="63">
        <v>1</v>
      </c>
      <c r="Q194" s="63">
        <v>2</v>
      </c>
      <c r="S194" s="63">
        <v>192</v>
      </c>
      <c r="T194" s="63">
        <f t="shared" si="5"/>
        <v>39</v>
      </c>
      <c r="U194" s="63">
        <f t="shared" si="4"/>
        <v>0</v>
      </c>
      <c r="V194" s="63">
        <f>VLOOKUP(T194,$AA$2:$AC$68,3,FALSE)</f>
        <v>0</v>
      </c>
      <c r="W194" s="63">
        <v>2</v>
      </c>
    </row>
    <row r="195" spans="7:23" ht="12" customHeight="1">
      <c r="G195" s="63">
        <v>193</v>
      </c>
      <c r="H195" s="63">
        <v>39</v>
      </c>
      <c r="I195" s="63">
        <v>4</v>
      </c>
      <c r="J195" s="63">
        <v>2</v>
      </c>
      <c r="K195" s="63">
        <v>3</v>
      </c>
      <c r="M195" s="63">
        <v>193</v>
      </c>
      <c r="N195" s="63">
        <v>39</v>
      </c>
      <c r="O195" s="63">
        <v>10</v>
      </c>
      <c r="P195" s="63">
        <v>1</v>
      </c>
      <c r="Q195" s="63">
        <v>3</v>
      </c>
      <c r="S195" s="63">
        <v>193</v>
      </c>
      <c r="T195" s="63">
        <f t="shared" si="5"/>
        <v>39</v>
      </c>
      <c r="U195" s="63">
        <f aca="true" t="shared" si="6" ref="U195:U258">VLOOKUP(T195,$AA$3:$AC$68,2,FALSE)</f>
        <v>0</v>
      </c>
      <c r="V195" s="63">
        <f>VLOOKUP(T195,$AA$2:$AC$68,3,FALSE)</f>
        <v>0</v>
      </c>
      <c r="W195" s="63">
        <v>3</v>
      </c>
    </row>
    <row r="196" spans="7:23" ht="12" customHeight="1">
      <c r="G196" s="63">
        <v>194</v>
      </c>
      <c r="H196" s="63">
        <v>39</v>
      </c>
      <c r="I196" s="63">
        <v>4</v>
      </c>
      <c r="J196" s="63">
        <v>2</v>
      </c>
      <c r="K196" s="63">
        <v>4</v>
      </c>
      <c r="M196" s="63">
        <v>194</v>
      </c>
      <c r="N196" s="63">
        <v>39</v>
      </c>
      <c r="O196" s="63">
        <v>10</v>
      </c>
      <c r="P196" s="63">
        <v>1</v>
      </c>
      <c r="Q196" s="63">
        <v>4</v>
      </c>
      <c r="S196" s="63">
        <v>194</v>
      </c>
      <c r="T196" s="63">
        <f t="shared" si="5"/>
        <v>39</v>
      </c>
      <c r="U196" s="63">
        <f t="shared" si="6"/>
        <v>0</v>
      </c>
      <c r="V196" s="63">
        <f>VLOOKUP(T196,$AA$2:$AC$68,3,FALSE)</f>
        <v>0</v>
      </c>
      <c r="W196" s="63">
        <v>4</v>
      </c>
    </row>
    <row r="197" spans="7:23" ht="12" customHeight="1">
      <c r="G197" s="63">
        <v>195</v>
      </c>
      <c r="H197" s="63">
        <v>39</v>
      </c>
      <c r="I197" s="63">
        <v>4</v>
      </c>
      <c r="J197" s="63">
        <v>2</v>
      </c>
      <c r="K197" s="63">
        <v>5</v>
      </c>
      <c r="M197" s="63">
        <v>195</v>
      </c>
      <c r="N197" s="63">
        <v>39</v>
      </c>
      <c r="O197" s="63">
        <v>10</v>
      </c>
      <c r="P197" s="63">
        <v>1</v>
      </c>
      <c r="Q197" s="63">
        <v>5</v>
      </c>
      <c r="S197" s="63">
        <v>195</v>
      </c>
      <c r="T197" s="63">
        <f t="shared" si="5"/>
        <v>39</v>
      </c>
      <c r="U197" s="63">
        <f t="shared" si="6"/>
        <v>0</v>
      </c>
      <c r="V197" s="63">
        <f>VLOOKUP(T197,$AA$2:$AC$68,3,FALSE)</f>
        <v>0</v>
      </c>
      <c r="W197" s="63">
        <v>5</v>
      </c>
    </row>
    <row r="198" spans="7:23" ht="12" customHeight="1">
      <c r="G198" s="64">
        <v>196</v>
      </c>
      <c r="H198" s="64">
        <v>40</v>
      </c>
      <c r="I198" s="64">
        <v>1</v>
      </c>
      <c r="J198" s="64">
        <v>3</v>
      </c>
      <c r="K198" s="64">
        <v>1</v>
      </c>
      <c r="M198" s="64">
        <v>196</v>
      </c>
      <c r="N198" s="64">
        <v>40</v>
      </c>
      <c r="O198" s="64">
        <v>8</v>
      </c>
      <c r="P198" s="64">
        <v>11</v>
      </c>
      <c r="Q198" s="64">
        <v>1</v>
      </c>
      <c r="S198" s="64">
        <v>196</v>
      </c>
      <c r="T198" s="64">
        <f t="shared" si="5"/>
        <v>40</v>
      </c>
      <c r="U198" s="64">
        <f t="shared" si="6"/>
        <v>0</v>
      </c>
      <c r="V198" s="64">
        <f>VLOOKUP(T198,$AA$3:$AC$68,3,FALSE)</f>
        <v>0</v>
      </c>
      <c r="W198" s="64">
        <v>1</v>
      </c>
    </row>
    <row r="199" spans="7:23" ht="12" customHeight="1">
      <c r="G199" s="64">
        <v>197</v>
      </c>
      <c r="H199" s="64">
        <v>40</v>
      </c>
      <c r="I199" s="64">
        <v>1</v>
      </c>
      <c r="J199" s="64">
        <v>3</v>
      </c>
      <c r="K199" s="64">
        <v>2</v>
      </c>
      <c r="M199" s="64">
        <v>197</v>
      </c>
      <c r="N199" s="64">
        <v>40</v>
      </c>
      <c r="O199" s="64">
        <v>8</v>
      </c>
      <c r="P199" s="64">
        <v>11</v>
      </c>
      <c r="Q199" s="64">
        <v>2</v>
      </c>
      <c r="S199" s="64">
        <v>197</v>
      </c>
      <c r="T199" s="64">
        <f t="shared" si="5"/>
        <v>40</v>
      </c>
      <c r="U199" s="64">
        <f t="shared" si="6"/>
        <v>0</v>
      </c>
      <c r="V199" s="64">
        <f>VLOOKUP(T199,$AA$3:$AC$68,3,FALSE)</f>
        <v>0</v>
      </c>
      <c r="W199" s="64">
        <v>2</v>
      </c>
    </row>
    <row r="200" spans="7:23" ht="12" customHeight="1">
      <c r="G200" s="64">
        <v>198</v>
      </c>
      <c r="H200" s="64">
        <v>40</v>
      </c>
      <c r="I200" s="64">
        <v>1</v>
      </c>
      <c r="J200" s="64">
        <v>3</v>
      </c>
      <c r="K200" s="64">
        <v>3</v>
      </c>
      <c r="M200" s="64">
        <v>198</v>
      </c>
      <c r="N200" s="64">
        <v>40</v>
      </c>
      <c r="O200" s="64">
        <v>8</v>
      </c>
      <c r="P200" s="64">
        <v>11</v>
      </c>
      <c r="Q200" s="64">
        <v>3</v>
      </c>
      <c r="S200" s="64">
        <v>198</v>
      </c>
      <c r="T200" s="64">
        <f aca="true" t="shared" si="7" ref="T200:T263">T195+1</f>
        <v>40</v>
      </c>
      <c r="U200" s="64">
        <f t="shared" si="6"/>
        <v>0</v>
      </c>
      <c r="V200" s="64">
        <f>VLOOKUP(T200,$AA$3:$AC$68,3,FALSE)</f>
        <v>0</v>
      </c>
      <c r="W200" s="64">
        <v>3</v>
      </c>
    </row>
    <row r="201" spans="7:23" ht="12" customHeight="1">
      <c r="G201" s="64">
        <v>199</v>
      </c>
      <c r="H201" s="64">
        <v>40</v>
      </c>
      <c r="I201" s="64">
        <v>1</v>
      </c>
      <c r="J201" s="64">
        <v>3</v>
      </c>
      <c r="K201" s="64">
        <v>4</v>
      </c>
      <c r="M201" s="64">
        <v>199</v>
      </c>
      <c r="N201" s="64">
        <v>40</v>
      </c>
      <c r="O201" s="64">
        <v>8</v>
      </c>
      <c r="P201" s="64">
        <v>11</v>
      </c>
      <c r="Q201" s="64">
        <v>4</v>
      </c>
      <c r="S201" s="64">
        <v>199</v>
      </c>
      <c r="T201" s="64">
        <f t="shared" si="7"/>
        <v>40</v>
      </c>
      <c r="U201" s="64">
        <f t="shared" si="6"/>
        <v>0</v>
      </c>
      <c r="V201" s="64">
        <f>VLOOKUP(T201,$AA$3:$AC$68,3,FALSE)</f>
        <v>0</v>
      </c>
      <c r="W201" s="64">
        <v>4</v>
      </c>
    </row>
    <row r="202" spans="7:23" ht="12" customHeight="1">
      <c r="G202" s="64">
        <v>200</v>
      </c>
      <c r="H202" s="64">
        <v>40</v>
      </c>
      <c r="I202" s="64">
        <v>1</v>
      </c>
      <c r="J202" s="64">
        <v>3</v>
      </c>
      <c r="K202" s="64">
        <v>5</v>
      </c>
      <c r="M202" s="64">
        <v>200</v>
      </c>
      <c r="N202" s="64">
        <v>40</v>
      </c>
      <c r="O202" s="64">
        <v>8</v>
      </c>
      <c r="P202" s="64">
        <v>11</v>
      </c>
      <c r="Q202" s="64">
        <v>5</v>
      </c>
      <c r="S202" s="64">
        <v>200</v>
      </c>
      <c r="T202" s="64">
        <f t="shared" si="7"/>
        <v>40</v>
      </c>
      <c r="U202" s="64">
        <f t="shared" si="6"/>
        <v>0</v>
      </c>
      <c r="V202" s="64">
        <f>VLOOKUP(T202,$AA$3:$AC$68,3,FALSE)</f>
        <v>0</v>
      </c>
      <c r="W202" s="64">
        <v>5</v>
      </c>
    </row>
    <row r="203" spans="7:23" ht="12" customHeight="1">
      <c r="G203" s="63">
        <v>201</v>
      </c>
      <c r="H203" s="63">
        <v>41</v>
      </c>
      <c r="I203" s="63">
        <v>6</v>
      </c>
      <c r="J203" s="63">
        <v>7</v>
      </c>
      <c r="K203" s="63">
        <v>1</v>
      </c>
      <c r="M203" s="63">
        <v>201</v>
      </c>
      <c r="N203" s="63">
        <v>41</v>
      </c>
      <c r="O203" s="63">
        <v>6</v>
      </c>
      <c r="P203" s="63">
        <v>9</v>
      </c>
      <c r="Q203" s="63">
        <v>1</v>
      </c>
      <c r="S203" s="63">
        <v>201</v>
      </c>
      <c r="T203" s="63">
        <f t="shared" si="7"/>
        <v>41</v>
      </c>
      <c r="U203" s="63">
        <f t="shared" si="6"/>
        <v>0</v>
      </c>
      <c r="V203" s="63">
        <f>VLOOKUP(T203,$AA$2:$AC$68,3,FALSE)</f>
        <v>0</v>
      </c>
      <c r="W203" s="63">
        <v>1</v>
      </c>
    </row>
    <row r="204" spans="7:23" ht="12" customHeight="1">
      <c r="G204" s="63">
        <v>202</v>
      </c>
      <c r="H204" s="63">
        <v>41</v>
      </c>
      <c r="I204" s="63">
        <v>6</v>
      </c>
      <c r="J204" s="63">
        <v>7</v>
      </c>
      <c r="K204" s="63">
        <v>2</v>
      </c>
      <c r="M204" s="63">
        <v>202</v>
      </c>
      <c r="N204" s="63">
        <v>41</v>
      </c>
      <c r="O204" s="63">
        <v>6</v>
      </c>
      <c r="P204" s="63">
        <v>9</v>
      </c>
      <c r="Q204" s="63">
        <v>2</v>
      </c>
      <c r="S204" s="63">
        <v>202</v>
      </c>
      <c r="T204" s="63">
        <f t="shared" si="7"/>
        <v>41</v>
      </c>
      <c r="U204" s="63">
        <f t="shared" si="6"/>
        <v>0</v>
      </c>
      <c r="V204" s="63">
        <f>VLOOKUP(T204,$AA$2:$AC$68,3,FALSE)</f>
        <v>0</v>
      </c>
      <c r="W204" s="63">
        <v>2</v>
      </c>
    </row>
    <row r="205" spans="7:23" ht="12" customHeight="1">
      <c r="G205" s="63">
        <v>203</v>
      </c>
      <c r="H205" s="63">
        <v>41</v>
      </c>
      <c r="I205" s="63">
        <v>6</v>
      </c>
      <c r="J205" s="63">
        <v>7</v>
      </c>
      <c r="K205" s="63">
        <v>3</v>
      </c>
      <c r="M205" s="63">
        <v>203</v>
      </c>
      <c r="N205" s="63">
        <v>41</v>
      </c>
      <c r="O205" s="63">
        <v>6</v>
      </c>
      <c r="P205" s="63">
        <v>9</v>
      </c>
      <c r="Q205" s="63">
        <v>3</v>
      </c>
      <c r="S205" s="63">
        <v>203</v>
      </c>
      <c r="T205" s="63">
        <f t="shared" si="7"/>
        <v>41</v>
      </c>
      <c r="U205" s="63">
        <f t="shared" si="6"/>
        <v>0</v>
      </c>
      <c r="V205" s="63">
        <f>VLOOKUP(T205,$AA$2:$AC$68,3,FALSE)</f>
        <v>0</v>
      </c>
      <c r="W205" s="63">
        <v>3</v>
      </c>
    </row>
    <row r="206" spans="7:23" ht="12" customHeight="1">
      <c r="G206" s="63">
        <v>204</v>
      </c>
      <c r="H206" s="63">
        <v>41</v>
      </c>
      <c r="I206" s="63">
        <v>6</v>
      </c>
      <c r="J206" s="63">
        <v>7</v>
      </c>
      <c r="K206" s="63">
        <v>4</v>
      </c>
      <c r="M206" s="63">
        <v>204</v>
      </c>
      <c r="N206" s="63">
        <v>41</v>
      </c>
      <c r="O206" s="63">
        <v>6</v>
      </c>
      <c r="P206" s="63">
        <v>9</v>
      </c>
      <c r="Q206" s="63">
        <v>4</v>
      </c>
      <c r="S206" s="63">
        <v>204</v>
      </c>
      <c r="T206" s="63">
        <f t="shared" si="7"/>
        <v>41</v>
      </c>
      <c r="U206" s="63">
        <f t="shared" si="6"/>
        <v>0</v>
      </c>
      <c r="V206" s="63">
        <f>VLOOKUP(T206,$AA$2:$AC$68,3,FALSE)</f>
        <v>0</v>
      </c>
      <c r="W206" s="63">
        <v>4</v>
      </c>
    </row>
    <row r="207" spans="7:23" ht="12" customHeight="1">
      <c r="G207" s="63">
        <v>205</v>
      </c>
      <c r="H207" s="63">
        <v>41</v>
      </c>
      <c r="I207" s="63">
        <v>6</v>
      </c>
      <c r="J207" s="63">
        <v>7</v>
      </c>
      <c r="K207" s="63">
        <v>5</v>
      </c>
      <c r="M207" s="63">
        <v>205</v>
      </c>
      <c r="N207" s="63">
        <v>41</v>
      </c>
      <c r="O207" s="63">
        <v>6</v>
      </c>
      <c r="P207" s="63">
        <v>9</v>
      </c>
      <c r="Q207" s="63">
        <v>5</v>
      </c>
      <c r="S207" s="63">
        <v>205</v>
      </c>
      <c r="T207" s="63">
        <f t="shared" si="7"/>
        <v>41</v>
      </c>
      <c r="U207" s="63">
        <f t="shared" si="6"/>
        <v>0</v>
      </c>
      <c r="V207" s="63">
        <f>VLOOKUP(T207,$AA$2:$AC$68,3,FALSE)</f>
        <v>0</v>
      </c>
      <c r="W207" s="63">
        <v>5</v>
      </c>
    </row>
    <row r="208" spans="7:23" ht="12" customHeight="1">
      <c r="G208" s="64">
        <v>206</v>
      </c>
      <c r="H208" s="64">
        <v>42</v>
      </c>
      <c r="I208" s="64">
        <v>5</v>
      </c>
      <c r="J208" s="64">
        <v>8</v>
      </c>
      <c r="K208" s="64">
        <v>1</v>
      </c>
      <c r="M208" s="64">
        <v>206</v>
      </c>
      <c r="N208" s="64">
        <v>42</v>
      </c>
      <c r="O208" s="64">
        <v>4</v>
      </c>
      <c r="P208" s="64">
        <v>7</v>
      </c>
      <c r="Q208" s="64">
        <v>1</v>
      </c>
      <c r="S208" s="64">
        <v>206</v>
      </c>
      <c r="T208" s="64">
        <f t="shared" si="7"/>
        <v>42</v>
      </c>
      <c r="U208" s="64">
        <f t="shared" si="6"/>
        <v>0</v>
      </c>
      <c r="V208" s="64">
        <f>VLOOKUP(T208,$AA$3:$AC$68,3,FALSE)</f>
        <v>0</v>
      </c>
      <c r="W208" s="64">
        <v>1</v>
      </c>
    </row>
    <row r="209" spans="7:23" ht="12" customHeight="1">
      <c r="G209" s="64">
        <v>207</v>
      </c>
      <c r="H209" s="64">
        <v>42</v>
      </c>
      <c r="I209" s="64">
        <v>5</v>
      </c>
      <c r="J209" s="64">
        <v>8</v>
      </c>
      <c r="K209" s="64">
        <v>2</v>
      </c>
      <c r="M209" s="64">
        <v>207</v>
      </c>
      <c r="N209" s="64">
        <v>42</v>
      </c>
      <c r="O209" s="64">
        <v>4</v>
      </c>
      <c r="P209" s="64">
        <v>7</v>
      </c>
      <c r="Q209" s="64">
        <v>2</v>
      </c>
      <c r="S209" s="64">
        <v>207</v>
      </c>
      <c r="T209" s="64">
        <f t="shared" si="7"/>
        <v>42</v>
      </c>
      <c r="U209" s="64">
        <f t="shared" si="6"/>
        <v>0</v>
      </c>
      <c r="V209" s="64">
        <f>VLOOKUP(T209,$AA$3:$AC$68,3,FALSE)</f>
        <v>0</v>
      </c>
      <c r="W209" s="64">
        <v>2</v>
      </c>
    </row>
    <row r="210" spans="7:23" ht="12" customHeight="1">
      <c r="G210" s="64">
        <v>208</v>
      </c>
      <c r="H210" s="64">
        <v>42</v>
      </c>
      <c r="I210" s="64">
        <v>5</v>
      </c>
      <c r="J210" s="64">
        <v>8</v>
      </c>
      <c r="K210" s="64">
        <v>3</v>
      </c>
      <c r="M210" s="64">
        <v>208</v>
      </c>
      <c r="N210" s="64">
        <v>42</v>
      </c>
      <c r="O210" s="64">
        <v>4</v>
      </c>
      <c r="P210" s="64">
        <v>7</v>
      </c>
      <c r="Q210" s="64">
        <v>3</v>
      </c>
      <c r="S210" s="64">
        <v>208</v>
      </c>
      <c r="T210" s="64">
        <f t="shared" si="7"/>
        <v>42</v>
      </c>
      <c r="U210" s="64">
        <f t="shared" si="6"/>
        <v>0</v>
      </c>
      <c r="V210" s="64">
        <f>VLOOKUP(T210,$AA$3:$AC$68,3,FALSE)</f>
        <v>0</v>
      </c>
      <c r="W210" s="64">
        <v>3</v>
      </c>
    </row>
    <row r="211" spans="7:23" ht="12" customHeight="1">
      <c r="G211" s="64">
        <v>209</v>
      </c>
      <c r="H211" s="64">
        <v>42</v>
      </c>
      <c r="I211" s="64">
        <v>5</v>
      </c>
      <c r="J211" s="64">
        <v>8</v>
      </c>
      <c r="K211" s="64">
        <v>4</v>
      </c>
      <c r="M211" s="64">
        <v>209</v>
      </c>
      <c r="N211" s="64">
        <v>42</v>
      </c>
      <c r="O211" s="64">
        <v>4</v>
      </c>
      <c r="P211" s="64">
        <v>7</v>
      </c>
      <c r="Q211" s="64">
        <v>4</v>
      </c>
      <c r="S211" s="64">
        <v>209</v>
      </c>
      <c r="T211" s="64">
        <f t="shared" si="7"/>
        <v>42</v>
      </c>
      <c r="U211" s="64">
        <f t="shared" si="6"/>
        <v>0</v>
      </c>
      <c r="V211" s="64">
        <f>VLOOKUP(T211,$AA$3:$AC$68,3,FALSE)</f>
        <v>0</v>
      </c>
      <c r="W211" s="64">
        <v>4</v>
      </c>
    </row>
    <row r="212" spans="7:23" ht="12" customHeight="1">
      <c r="G212" s="64">
        <v>210</v>
      </c>
      <c r="H212" s="64">
        <v>42</v>
      </c>
      <c r="I212" s="64">
        <v>5</v>
      </c>
      <c r="J212" s="64">
        <v>8</v>
      </c>
      <c r="K212" s="64">
        <v>5</v>
      </c>
      <c r="M212" s="64">
        <v>210</v>
      </c>
      <c r="N212" s="64">
        <v>42</v>
      </c>
      <c r="O212" s="64">
        <v>4</v>
      </c>
      <c r="P212" s="64">
        <v>7</v>
      </c>
      <c r="Q212" s="64">
        <v>5</v>
      </c>
      <c r="S212" s="64">
        <v>210</v>
      </c>
      <c r="T212" s="64">
        <f t="shared" si="7"/>
        <v>42</v>
      </c>
      <c r="U212" s="64">
        <f t="shared" si="6"/>
        <v>0</v>
      </c>
      <c r="V212" s="64">
        <f>VLOOKUP(T212,$AA$3:$AC$68,3,FALSE)</f>
        <v>0</v>
      </c>
      <c r="W212" s="64">
        <v>5</v>
      </c>
    </row>
    <row r="213" spans="7:23" ht="12" customHeight="1">
      <c r="G213" s="63">
        <v>211</v>
      </c>
      <c r="H213" s="63">
        <v>43</v>
      </c>
      <c r="I213" s="63">
        <v>4</v>
      </c>
      <c r="J213" s="63">
        <v>9</v>
      </c>
      <c r="K213" s="63">
        <v>1</v>
      </c>
      <c r="M213" s="63">
        <v>211</v>
      </c>
      <c r="N213" s="63">
        <v>43</v>
      </c>
      <c r="O213" s="63">
        <v>2</v>
      </c>
      <c r="P213" s="63">
        <v>5</v>
      </c>
      <c r="Q213" s="63">
        <v>1</v>
      </c>
      <c r="S213" s="63">
        <v>211</v>
      </c>
      <c r="T213" s="63">
        <f t="shared" si="7"/>
        <v>43</v>
      </c>
      <c r="U213" s="63">
        <f t="shared" si="6"/>
        <v>0</v>
      </c>
      <c r="V213" s="63">
        <f>VLOOKUP(T213,$AA$2:$AC$68,3,FALSE)</f>
        <v>0</v>
      </c>
      <c r="W213" s="63">
        <v>1</v>
      </c>
    </row>
    <row r="214" spans="7:23" ht="12" customHeight="1">
      <c r="G214" s="63">
        <v>212</v>
      </c>
      <c r="H214" s="63">
        <v>43</v>
      </c>
      <c r="I214" s="63">
        <v>4</v>
      </c>
      <c r="J214" s="63">
        <v>9</v>
      </c>
      <c r="K214" s="63">
        <v>2</v>
      </c>
      <c r="M214" s="63">
        <v>212</v>
      </c>
      <c r="N214" s="63">
        <v>43</v>
      </c>
      <c r="O214" s="63">
        <v>2</v>
      </c>
      <c r="P214" s="63">
        <v>5</v>
      </c>
      <c r="Q214" s="63">
        <v>2</v>
      </c>
      <c r="S214" s="63">
        <v>212</v>
      </c>
      <c r="T214" s="63">
        <f t="shared" si="7"/>
        <v>43</v>
      </c>
      <c r="U214" s="63">
        <f t="shared" si="6"/>
        <v>0</v>
      </c>
      <c r="V214" s="63">
        <f>VLOOKUP(T214,$AA$2:$AC$68,3,FALSE)</f>
        <v>0</v>
      </c>
      <c r="W214" s="63">
        <v>2</v>
      </c>
    </row>
    <row r="215" spans="7:23" ht="12" customHeight="1">
      <c r="G215" s="63">
        <v>213</v>
      </c>
      <c r="H215" s="63">
        <v>43</v>
      </c>
      <c r="I215" s="63">
        <v>4</v>
      </c>
      <c r="J215" s="63">
        <v>9</v>
      </c>
      <c r="K215" s="63">
        <v>3</v>
      </c>
      <c r="M215" s="63">
        <v>213</v>
      </c>
      <c r="N215" s="63">
        <v>43</v>
      </c>
      <c r="O215" s="63">
        <v>2</v>
      </c>
      <c r="P215" s="63">
        <v>5</v>
      </c>
      <c r="Q215" s="63">
        <v>3</v>
      </c>
      <c r="S215" s="63">
        <v>213</v>
      </c>
      <c r="T215" s="63">
        <f t="shared" si="7"/>
        <v>43</v>
      </c>
      <c r="U215" s="63">
        <f t="shared" si="6"/>
        <v>0</v>
      </c>
      <c r="V215" s="63">
        <f>VLOOKUP(T215,$AA$2:$AC$68,3,FALSE)</f>
        <v>0</v>
      </c>
      <c r="W215" s="63">
        <v>3</v>
      </c>
    </row>
    <row r="216" spans="7:23" ht="12" customHeight="1">
      <c r="G216" s="63">
        <v>214</v>
      </c>
      <c r="H216" s="63">
        <v>43</v>
      </c>
      <c r="I216" s="63">
        <v>4</v>
      </c>
      <c r="J216" s="63">
        <v>9</v>
      </c>
      <c r="K216" s="63">
        <v>4</v>
      </c>
      <c r="M216" s="63">
        <v>214</v>
      </c>
      <c r="N216" s="63">
        <v>43</v>
      </c>
      <c r="O216" s="63">
        <v>2</v>
      </c>
      <c r="P216" s="63">
        <v>5</v>
      </c>
      <c r="Q216" s="63">
        <v>4</v>
      </c>
      <c r="S216" s="63">
        <v>214</v>
      </c>
      <c r="T216" s="63">
        <f t="shared" si="7"/>
        <v>43</v>
      </c>
      <c r="U216" s="63">
        <f t="shared" si="6"/>
        <v>0</v>
      </c>
      <c r="V216" s="63">
        <f>VLOOKUP(T216,$AA$2:$AC$68,3,FALSE)</f>
        <v>0</v>
      </c>
      <c r="W216" s="63">
        <v>4</v>
      </c>
    </row>
    <row r="217" spans="7:23" ht="12" customHeight="1">
      <c r="G217" s="63">
        <v>215</v>
      </c>
      <c r="H217" s="63">
        <v>43</v>
      </c>
      <c r="I217" s="63">
        <v>4</v>
      </c>
      <c r="J217" s="63">
        <v>9</v>
      </c>
      <c r="K217" s="63">
        <v>5</v>
      </c>
      <c r="M217" s="63">
        <v>215</v>
      </c>
      <c r="N217" s="63">
        <v>43</v>
      </c>
      <c r="O217" s="63">
        <v>2</v>
      </c>
      <c r="P217" s="63">
        <v>5</v>
      </c>
      <c r="Q217" s="63">
        <v>5</v>
      </c>
      <c r="S217" s="63">
        <v>215</v>
      </c>
      <c r="T217" s="63">
        <f t="shared" si="7"/>
        <v>43</v>
      </c>
      <c r="U217" s="63">
        <f t="shared" si="6"/>
        <v>0</v>
      </c>
      <c r="V217" s="63">
        <f>VLOOKUP(T217,$AA$2:$AC$68,3,FALSE)</f>
        <v>0</v>
      </c>
      <c r="W217" s="63">
        <v>5</v>
      </c>
    </row>
    <row r="218" spans="7:23" ht="12" customHeight="1">
      <c r="G218" s="64">
        <v>216</v>
      </c>
      <c r="H218" s="64">
        <v>44</v>
      </c>
      <c r="I218" s="64">
        <v>3</v>
      </c>
      <c r="J218" s="64">
        <v>10</v>
      </c>
      <c r="K218" s="64">
        <v>1</v>
      </c>
      <c r="M218" s="64">
        <v>216</v>
      </c>
      <c r="N218" s="64">
        <v>44</v>
      </c>
      <c r="O218" s="64">
        <v>1</v>
      </c>
      <c r="P218" s="64">
        <v>3</v>
      </c>
      <c r="Q218" s="64">
        <v>1</v>
      </c>
      <c r="S218" s="64">
        <v>216</v>
      </c>
      <c r="T218" s="64">
        <f t="shared" si="7"/>
        <v>44</v>
      </c>
      <c r="U218" s="64">
        <f t="shared" si="6"/>
        <v>0</v>
      </c>
      <c r="V218" s="64">
        <f>VLOOKUP(T218,$AA$3:$AC$68,3,FALSE)</f>
        <v>0</v>
      </c>
      <c r="W218" s="64">
        <v>1</v>
      </c>
    </row>
    <row r="219" spans="7:23" ht="12" customHeight="1">
      <c r="G219" s="64">
        <v>217</v>
      </c>
      <c r="H219" s="64">
        <v>44</v>
      </c>
      <c r="I219" s="64">
        <v>3</v>
      </c>
      <c r="J219" s="64">
        <v>10</v>
      </c>
      <c r="K219" s="64">
        <v>2</v>
      </c>
      <c r="M219" s="64">
        <v>217</v>
      </c>
      <c r="N219" s="64">
        <v>44</v>
      </c>
      <c r="O219" s="64">
        <v>1</v>
      </c>
      <c r="P219" s="64">
        <v>3</v>
      </c>
      <c r="Q219" s="64">
        <v>2</v>
      </c>
      <c r="S219" s="64">
        <v>217</v>
      </c>
      <c r="T219" s="64">
        <f t="shared" si="7"/>
        <v>44</v>
      </c>
      <c r="U219" s="64">
        <f t="shared" si="6"/>
        <v>0</v>
      </c>
      <c r="V219" s="64">
        <f>VLOOKUP(T219,$AA$3:$AC$68,3,FALSE)</f>
        <v>0</v>
      </c>
      <c r="W219" s="64">
        <v>2</v>
      </c>
    </row>
    <row r="220" spans="7:23" ht="12" customHeight="1">
      <c r="G220" s="64">
        <v>218</v>
      </c>
      <c r="H220" s="64">
        <v>44</v>
      </c>
      <c r="I220" s="64">
        <v>3</v>
      </c>
      <c r="J220" s="64">
        <v>10</v>
      </c>
      <c r="K220" s="64">
        <v>3</v>
      </c>
      <c r="M220" s="64">
        <v>218</v>
      </c>
      <c r="N220" s="64">
        <v>44</v>
      </c>
      <c r="O220" s="64">
        <v>1</v>
      </c>
      <c r="P220" s="64">
        <v>3</v>
      </c>
      <c r="Q220" s="64">
        <v>3</v>
      </c>
      <c r="S220" s="64">
        <v>218</v>
      </c>
      <c r="T220" s="64">
        <f t="shared" si="7"/>
        <v>44</v>
      </c>
      <c r="U220" s="64">
        <f t="shared" si="6"/>
        <v>0</v>
      </c>
      <c r="V220" s="64">
        <f>VLOOKUP(T220,$AA$3:$AC$68,3,FALSE)</f>
        <v>0</v>
      </c>
      <c r="W220" s="64">
        <v>3</v>
      </c>
    </row>
    <row r="221" spans="7:23" ht="12" customHeight="1">
      <c r="G221" s="64">
        <v>219</v>
      </c>
      <c r="H221" s="64">
        <v>44</v>
      </c>
      <c r="I221" s="64">
        <v>3</v>
      </c>
      <c r="J221" s="64">
        <v>10</v>
      </c>
      <c r="K221" s="64">
        <v>4</v>
      </c>
      <c r="M221" s="64">
        <v>219</v>
      </c>
      <c r="N221" s="64">
        <v>44</v>
      </c>
      <c r="O221" s="64">
        <v>1</v>
      </c>
      <c r="P221" s="64">
        <v>3</v>
      </c>
      <c r="Q221" s="64">
        <v>4</v>
      </c>
      <c r="S221" s="64">
        <v>219</v>
      </c>
      <c r="T221" s="64">
        <f t="shared" si="7"/>
        <v>44</v>
      </c>
      <c r="U221" s="64">
        <f t="shared" si="6"/>
        <v>0</v>
      </c>
      <c r="V221" s="64">
        <f>VLOOKUP(T221,$AA$3:$AC$68,3,FALSE)</f>
        <v>0</v>
      </c>
      <c r="W221" s="64">
        <v>4</v>
      </c>
    </row>
    <row r="222" spans="7:23" ht="12" customHeight="1">
      <c r="G222" s="64">
        <v>220</v>
      </c>
      <c r="H222" s="64">
        <v>44</v>
      </c>
      <c r="I222" s="64">
        <v>3</v>
      </c>
      <c r="J222" s="64">
        <v>10</v>
      </c>
      <c r="K222" s="64">
        <v>5</v>
      </c>
      <c r="M222" s="64">
        <v>220</v>
      </c>
      <c r="N222" s="64">
        <v>44</v>
      </c>
      <c r="O222" s="64">
        <v>1</v>
      </c>
      <c r="P222" s="64">
        <v>3</v>
      </c>
      <c r="Q222" s="64">
        <v>5</v>
      </c>
      <c r="S222" s="64">
        <v>220</v>
      </c>
      <c r="T222" s="64">
        <f t="shared" si="7"/>
        <v>44</v>
      </c>
      <c r="U222" s="64">
        <f t="shared" si="6"/>
        <v>0</v>
      </c>
      <c r="V222" s="64">
        <f>VLOOKUP(T222,$AA$3:$AC$68,3,FALSE)</f>
        <v>0</v>
      </c>
      <c r="W222" s="64">
        <v>5</v>
      </c>
    </row>
    <row r="223" spans="7:23" ht="12" customHeight="1">
      <c r="G223" s="63">
        <v>221</v>
      </c>
      <c r="H223" s="63">
        <v>45</v>
      </c>
      <c r="I223" s="63">
        <v>1</v>
      </c>
      <c r="J223" s="63">
        <v>2</v>
      </c>
      <c r="K223" s="63">
        <v>1</v>
      </c>
      <c r="M223" s="63">
        <v>221</v>
      </c>
      <c r="N223" s="63">
        <v>45</v>
      </c>
      <c r="O223" s="63">
        <v>10</v>
      </c>
      <c r="P223" s="63">
        <v>11</v>
      </c>
      <c r="Q223" s="63">
        <v>1</v>
      </c>
      <c r="S223" s="63">
        <v>221</v>
      </c>
      <c r="T223" s="63">
        <f t="shared" si="7"/>
        <v>45</v>
      </c>
      <c r="U223" s="63">
        <f t="shared" si="6"/>
        <v>0</v>
      </c>
      <c r="V223" s="63">
        <f>VLOOKUP(T223,$AA$2:$AC$68,3,FALSE)</f>
        <v>0</v>
      </c>
      <c r="W223" s="63">
        <v>1</v>
      </c>
    </row>
    <row r="224" spans="7:23" ht="12" customHeight="1">
      <c r="G224" s="63">
        <v>222</v>
      </c>
      <c r="H224" s="63">
        <v>45</v>
      </c>
      <c r="I224" s="63">
        <v>1</v>
      </c>
      <c r="J224" s="63">
        <v>2</v>
      </c>
      <c r="K224" s="63">
        <v>2</v>
      </c>
      <c r="M224" s="63">
        <v>222</v>
      </c>
      <c r="N224" s="63">
        <v>45</v>
      </c>
      <c r="O224" s="63">
        <v>10</v>
      </c>
      <c r="P224" s="63">
        <v>11</v>
      </c>
      <c r="Q224" s="63">
        <v>2</v>
      </c>
      <c r="S224" s="63">
        <v>222</v>
      </c>
      <c r="T224" s="63">
        <f t="shared" si="7"/>
        <v>45</v>
      </c>
      <c r="U224" s="63">
        <f t="shared" si="6"/>
        <v>0</v>
      </c>
      <c r="V224" s="63">
        <f>VLOOKUP(T224,$AA$2:$AC$68,3,FALSE)</f>
        <v>0</v>
      </c>
      <c r="W224" s="63">
        <v>2</v>
      </c>
    </row>
    <row r="225" spans="7:23" ht="12" customHeight="1">
      <c r="G225" s="63">
        <v>223</v>
      </c>
      <c r="H225" s="63">
        <v>45</v>
      </c>
      <c r="I225" s="63">
        <v>1</v>
      </c>
      <c r="J225" s="63">
        <v>2</v>
      </c>
      <c r="K225" s="63">
        <v>3</v>
      </c>
      <c r="M225" s="63">
        <v>223</v>
      </c>
      <c r="N225" s="63">
        <v>45</v>
      </c>
      <c r="O225" s="63">
        <v>10</v>
      </c>
      <c r="P225" s="63">
        <v>11</v>
      </c>
      <c r="Q225" s="63">
        <v>3</v>
      </c>
      <c r="S225" s="63">
        <v>223</v>
      </c>
      <c r="T225" s="63">
        <f t="shared" si="7"/>
        <v>45</v>
      </c>
      <c r="U225" s="63">
        <f t="shared" si="6"/>
        <v>0</v>
      </c>
      <c r="V225" s="63">
        <f>VLOOKUP(T225,$AA$2:$AC$68,3,FALSE)</f>
        <v>0</v>
      </c>
      <c r="W225" s="63">
        <v>3</v>
      </c>
    </row>
    <row r="226" spans="7:23" ht="12" customHeight="1">
      <c r="G226" s="63">
        <v>224</v>
      </c>
      <c r="H226" s="63">
        <v>45</v>
      </c>
      <c r="I226" s="63">
        <v>1</v>
      </c>
      <c r="J226" s="63">
        <v>2</v>
      </c>
      <c r="K226" s="63">
        <v>4</v>
      </c>
      <c r="M226" s="63">
        <v>224</v>
      </c>
      <c r="N226" s="63">
        <v>45</v>
      </c>
      <c r="O226" s="63">
        <v>10</v>
      </c>
      <c r="P226" s="63">
        <v>11</v>
      </c>
      <c r="Q226" s="63">
        <v>4</v>
      </c>
      <c r="S226" s="63">
        <v>224</v>
      </c>
      <c r="T226" s="63">
        <f t="shared" si="7"/>
        <v>45</v>
      </c>
      <c r="U226" s="63">
        <f t="shared" si="6"/>
        <v>0</v>
      </c>
      <c r="V226" s="63">
        <f>VLOOKUP(T226,$AA$2:$AC$68,3,FALSE)</f>
        <v>0</v>
      </c>
      <c r="W226" s="63">
        <v>4</v>
      </c>
    </row>
    <row r="227" spans="7:23" ht="12" customHeight="1">
      <c r="G227" s="63">
        <v>225</v>
      </c>
      <c r="H227" s="63">
        <v>45</v>
      </c>
      <c r="I227" s="63">
        <v>1</v>
      </c>
      <c r="J227" s="63">
        <v>2</v>
      </c>
      <c r="K227" s="63">
        <v>5</v>
      </c>
      <c r="M227" s="63">
        <v>225</v>
      </c>
      <c r="N227" s="63">
        <v>45</v>
      </c>
      <c r="O227" s="63">
        <v>10</v>
      </c>
      <c r="P227" s="63">
        <v>11</v>
      </c>
      <c r="Q227" s="63">
        <v>5</v>
      </c>
      <c r="S227" s="63">
        <v>225</v>
      </c>
      <c r="T227" s="63">
        <f t="shared" si="7"/>
        <v>45</v>
      </c>
      <c r="U227" s="63">
        <f t="shared" si="6"/>
        <v>0</v>
      </c>
      <c r="V227" s="63">
        <f>VLOOKUP(T227,$AA$2:$AC$68,3,FALSE)</f>
        <v>0</v>
      </c>
      <c r="W227" s="63">
        <v>5</v>
      </c>
    </row>
    <row r="228" spans="13:23" ht="12" customHeight="1">
      <c r="M228" s="64">
        <v>226</v>
      </c>
      <c r="N228" s="64">
        <v>46</v>
      </c>
      <c r="O228" s="64">
        <v>8</v>
      </c>
      <c r="P228" s="64">
        <v>9</v>
      </c>
      <c r="Q228" s="64">
        <v>1</v>
      </c>
      <c r="S228" s="64">
        <v>226</v>
      </c>
      <c r="T228" s="64">
        <f t="shared" si="7"/>
        <v>46</v>
      </c>
      <c r="U228" s="64">
        <f t="shared" si="6"/>
        <v>0</v>
      </c>
      <c r="V228" s="64">
        <f>VLOOKUP(T228,$AA$3:$AC$68,3,FALSE)</f>
        <v>0</v>
      </c>
      <c r="W228" s="64">
        <v>1</v>
      </c>
    </row>
    <row r="229" spans="13:23" ht="12" customHeight="1">
      <c r="M229" s="64">
        <v>227</v>
      </c>
      <c r="N229" s="64">
        <v>46</v>
      </c>
      <c r="O229" s="64">
        <v>8</v>
      </c>
      <c r="P229" s="64">
        <v>9</v>
      </c>
      <c r="Q229" s="64">
        <v>2</v>
      </c>
      <c r="S229" s="64">
        <v>227</v>
      </c>
      <c r="T229" s="64">
        <f t="shared" si="7"/>
        <v>46</v>
      </c>
      <c r="U229" s="64">
        <f t="shared" si="6"/>
        <v>0</v>
      </c>
      <c r="V229" s="64">
        <f>VLOOKUP(T229,$AA$3:$AC$68,3,FALSE)</f>
        <v>0</v>
      </c>
      <c r="W229" s="64">
        <v>2</v>
      </c>
    </row>
    <row r="230" spans="13:23" ht="12" customHeight="1">
      <c r="M230" s="64">
        <v>228</v>
      </c>
      <c r="N230" s="64">
        <v>46</v>
      </c>
      <c r="O230" s="64">
        <v>8</v>
      </c>
      <c r="P230" s="64">
        <v>9</v>
      </c>
      <c r="Q230" s="64">
        <v>3</v>
      </c>
      <c r="S230" s="64">
        <v>228</v>
      </c>
      <c r="T230" s="64">
        <f t="shared" si="7"/>
        <v>46</v>
      </c>
      <c r="U230" s="64">
        <f t="shared" si="6"/>
        <v>0</v>
      </c>
      <c r="V230" s="64">
        <f>VLOOKUP(T230,$AA$3:$AC$68,3,FALSE)</f>
        <v>0</v>
      </c>
      <c r="W230" s="64">
        <v>3</v>
      </c>
    </row>
    <row r="231" spans="13:23" ht="12" customHeight="1">
      <c r="M231" s="64">
        <v>229</v>
      </c>
      <c r="N231" s="64">
        <v>46</v>
      </c>
      <c r="O231" s="64">
        <v>8</v>
      </c>
      <c r="P231" s="64">
        <v>9</v>
      </c>
      <c r="Q231" s="64">
        <v>4</v>
      </c>
      <c r="S231" s="64">
        <v>229</v>
      </c>
      <c r="T231" s="64">
        <f t="shared" si="7"/>
        <v>46</v>
      </c>
      <c r="U231" s="64">
        <f t="shared" si="6"/>
        <v>0</v>
      </c>
      <c r="V231" s="64">
        <f>VLOOKUP(T231,$AA$3:$AC$68,3,FALSE)</f>
        <v>0</v>
      </c>
      <c r="W231" s="64">
        <v>4</v>
      </c>
    </row>
    <row r="232" spans="13:23" ht="12" customHeight="1">
      <c r="M232" s="64">
        <v>230</v>
      </c>
      <c r="N232" s="64">
        <v>46</v>
      </c>
      <c r="O232" s="64">
        <v>8</v>
      </c>
      <c r="P232" s="64">
        <v>9</v>
      </c>
      <c r="Q232" s="64">
        <v>5</v>
      </c>
      <c r="S232" s="64">
        <v>230</v>
      </c>
      <c r="T232" s="64">
        <f t="shared" si="7"/>
        <v>46</v>
      </c>
      <c r="U232" s="64">
        <f t="shared" si="6"/>
        <v>0</v>
      </c>
      <c r="V232" s="64">
        <f>VLOOKUP(T232,$AA$3:$AC$68,3,FALSE)</f>
        <v>0</v>
      </c>
      <c r="W232" s="64">
        <v>5</v>
      </c>
    </row>
    <row r="233" spans="13:23" ht="12" customHeight="1">
      <c r="M233" s="63">
        <v>231</v>
      </c>
      <c r="N233" s="63">
        <v>47</v>
      </c>
      <c r="O233" s="63">
        <v>6</v>
      </c>
      <c r="P233" s="63">
        <v>7</v>
      </c>
      <c r="Q233" s="63">
        <v>1</v>
      </c>
      <c r="S233" s="63">
        <v>231</v>
      </c>
      <c r="T233" s="63">
        <f t="shared" si="7"/>
        <v>47</v>
      </c>
      <c r="U233" s="63">
        <f t="shared" si="6"/>
        <v>0</v>
      </c>
      <c r="V233" s="63">
        <f>VLOOKUP(T233,$AA$2:$AC$68,3,FALSE)</f>
        <v>0</v>
      </c>
      <c r="W233" s="63">
        <v>1</v>
      </c>
    </row>
    <row r="234" spans="13:23" ht="12" customHeight="1">
      <c r="M234" s="63">
        <v>232</v>
      </c>
      <c r="N234" s="63">
        <v>47</v>
      </c>
      <c r="O234" s="63">
        <v>6</v>
      </c>
      <c r="P234" s="63">
        <v>7</v>
      </c>
      <c r="Q234" s="63">
        <v>2</v>
      </c>
      <c r="S234" s="63">
        <v>232</v>
      </c>
      <c r="T234" s="63">
        <f t="shared" si="7"/>
        <v>47</v>
      </c>
      <c r="U234" s="63">
        <f t="shared" si="6"/>
        <v>0</v>
      </c>
      <c r="V234" s="63">
        <f>VLOOKUP(T234,$AA$2:$AC$68,3,FALSE)</f>
        <v>0</v>
      </c>
      <c r="W234" s="63">
        <v>2</v>
      </c>
    </row>
    <row r="235" spans="13:23" ht="12" customHeight="1">
      <c r="M235" s="63">
        <v>233</v>
      </c>
      <c r="N235" s="63">
        <v>47</v>
      </c>
      <c r="O235" s="63">
        <v>6</v>
      </c>
      <c r="P235" s="63">
        <v>7</v>
      </c>
      <c r="Q235" s="63">
        <v>3</v>
      </c>
      <c r="S235" s="63">
        <v>233</v>
      </c>
      <c r="T235" s="63">
        <f t="shared" si="7"/>
        <v>47</v>
      </c>
      <c r="U235" s="63">
        <f t="shared" si="6"/>
        <v>0</v>
      </c>
      <c r="V235" s="63">
        <f>VLOOKUP(T235,$AA$2:$AC$68,3,FALSE)</f>
        <v>0</v>
      </c>
      <c r="W235" s="63">
        <v>3</v>
      </c>
    </row>
    <row r="236" spans="13:23" ht="12" customHeight="1">
      <c r="M236" s="63">
        <v>234</v>
      </c>
      <c r="N236" s="63">
        <v>47</v>
      </c>
      <c r="O236" s="63">
        <v>6</v>
      </c>
      <c r="P236" s="63">
        <v>7</v>
      </c>
      <c r="Q236" s="63">
        <v>4</v>
      </c>
      <c r="S236" s="63">
        <v>234</v>
      </c>
      <c r="T236" s="63">
        <f t="shared" si="7"/>
        <v>47</v>
      </c>
      <c r="U236" s="63">
        <f t="shared" si="6"/>
        <v>0</v>
      </c>
      <c r="V236" s="63">
        <f>VLOOKUP(T236,$AA$2:$AC$68,3,FALSE)</f>
        <v>0</v>
      </c>
      <c r="W236" s="63">
        <v>4</v>
      </c>
    </row>
    <row r="237" spans="13:23" ht="12" customHeight="1">
      <c r="M237" s="63">
        <v>235</v>
      </c>
      <c r="N237" s="63">
        <v>47</v>
      </c>
      <c r="O237" s="63">
        <v>6</v>
      </c>
      <c r="P237" s="63">
        <v>7</v>
      </c>
      <c r="Q237" s="63">
        <v>5</v>
      </c>
      <c r="S237" s="63">
        <v>235</v>
      </c>
      <c r="T237" s="63">
        <f t="shared" si="7"/>
        <v>47</v>
      </c>
      <c r="U237" s="63">
        <f t="shared" si="6"/>
        <v>0</v>
      </c>
      <c r="V237" s="63">
        <f>VLOOKUP(T237,$AA$2:$AC$68,3,FALSE)</f>
        <v>0</v>
      </c>
      <c r="W237" s="63">
        <v>5</v>
      </c>
    </row>
    <row r="238" spans="13:23" ht="12" customHeight="1">
      <c r="M238" s="64">
        <v>236</v>
      </c>
      <c r="N238" s="64">
        <v>48</v>
      </c>
      <c r="O238" s="64">
        <v>4</v>
      </c>
      <c r="P238" s="64">
        <v>5</v>
      </c>
      <c r="Q238" s="64">
        <v>1</v>
      </c>
      <c r="S238" s="64">
        <v>236</v>
      </c>
      <c r="T238" s="64">
        <f t="shared" si="7"/>
        <v>48</v>
      </c>
      <c r="U238" s="64">
        <f t="shared" si="6"/>
        <v>0</v>
      </c>
      <c r="V238" s="64">
        <f>VLOOKUP(T238,$AA$3:$AC$68,3,FALSE)</f>
        <v>0</v>
      </c>
      <c r="W238" s="64">
        <v>1</v>
      </c>
    </row>
    <row r="239" spans="13:23" ht="12" customHeight="1">
      <c r="M239" s="64">
        <v>237</v>
      </c>
      <c r="N239" s="64">
        <v>48</v>
      </c>
      <c r="O239" s="64">
        <v>4</v>
      </c>
      <c r="P239" s="64">
        <v>5</v>
      </c>
      <c r="Q239" s="64">
        <v>2</v>
      </c>
      <c r="S239" s="64">
        <v>237</v>
      </c>
      <c r="T239" s="64">
        <f t="shared" si="7"/>
        <v>48</v>
      </c>
      <c r="U239" s="64">
        <f t="shared" si="6"/>
        <v>0</v>
      </c>
      <c r="V239" s="64">
        <f>VLOOKUP(T239,$AA$3:$AC$68,3,FALSE)</f>
        <v>0</v>
      </c>
      <c r="W239" s="64">
        <v>2</v>
      </c>
    </row>
    <row r="240" spans="13:23" ht="12" customHeight="1">
      <c r="M240" s="64">
        <v>238</v>
      </c>
      <c r="N240" s="64">
        <v>48</v>
      </c>
      <c r="O240" s="64">
        <v>4</v>
      </c>
      <c r="P240" s="64">
        <v>5</v>
      </c>
      <c r="Q240" s="64">
        <v>3</v>
      </c>
      <c r="S240" s="64">
        <v>238</v>
      </c>
      <c r="T240" s="64">
        <f t="shared" si="7"/>
        <v>48</v>
      </c>
      <c r="U240" s="64">
        <f t="shared" si="6"/>
        <v>0</v>
      </c>
      <c r="V240" s="64">
        <f>VLOOKUP(T240,$AA$3:$AC$68,3,FALSE)</f>
        <v>0</v>
      </c>
      <c r="W240" s="64">
        <v>3</v>
      </c>
    </row>
    <row r="241" spans="13:23" ht="12" customHeight="1">
      <c r="M241" s="64">
        <v>239</v>
      </c>
      <c r="N241" s="64">
        <v>48</v>
      </c>
      <c r="O241" s="64">
        <v>4</v>
      </c>
      <c r="P241" s="64">
        <v>5</v>
      </c>
      <c r="Q241" s="64">
        <v>4</v>
      </c>
      <c r="S241" s="64">
        <v>239</v>
      </c>
      <c r="T241" s="64">
        <f t="shared" si="7"/>
        <v>48</v>
      </c>
      <c r="U241" s="64">
        <f t="shared" si="6"/>
        <v>0</v>
      </c>
      <c r="V241" s="64">
        <f>VLOOKUP(T241,$AA$3:$AC$68,3,FALSE)</f>
        <v>0</v>
      </c>
      <c r="W241" s="64">
        <v>4</v>
      </c>
    </row>
    <row r="242" spans="13:23" ht="12" customHeight="1">
      <c r="M242" s="64">
        <v>240</v>
      </c>
      <c r="N242" s="64">
        <v>48</v>
      </c>
      <c r="O242" s="64">
        <v>4</v>
      </c>
      <c r="P242" s="64">
        <v>5</v>
      </c>
      <c r="Q242" s="64">
        <v>5</v>
      </c>
      <c r="S242" s="64">
        <v>240</v>
      </c>
      <c r="T242" s="64">
        <f t="shared" si="7"/>
        <v>48</v>
      </c>
      <c r="U242" s="64">
        <f t="shared" si="6"/>
        <v>0</v>
      </c>
      <c r="V242" s="64">
        <f>VLOOKUP(T242,$AA$3:$AC$68,3,FALSE)</f>
        <v>0</v>
      </c>
      <c r="W242" s="64">
        <v>5</v>
      </c>
    </row>
    <row r="243" spans="13:23" ht="12" customHeight="1">
      <c r="M243" s="63">
        <v>241</v>
      </c>
      <c r="N243" s="63">
        <v>49</v>
      </c>
      <c r="O243" s="63">
        <v>2</v>
      </c>
      <c r="P243" s="63">
        <v>3</v>
      </c>
      <c r="Q243" s="63">
        <v>1</v>
      </c>
      <c r="S243" s="63">
        <v>241</v>
      </c>
      <c r="T243" s="63">
        <f t="shared" si="7"/>
        <v>49</v>
      </c>
      <c r="U243" s="63">
        <f t="shared" si="6"/>
        <v>0</v>
      </c>
      <c r="V243" s="63">
        <f>VLOOKUP(T243,$AA$2:$AC$68,3,FALSE)</f>
        <v>0</v>
      </c>
      <c r="W243" s="63">
        <v>1</v>
      </c>
    </row>
    <row r="244" spans="13:23" ht="12" customHeight="1">
      <c r="M244" s="63">
        <v>242</v>
      </c>
      <c r="N244" s="63">
        <v>49</v>
      </c>
      <c r="O244" s="63">
        <v>2</v>
      </c>
      <c r="P244" s="63">
        <v>3</v>
      </c>
      <c r="Q244" s="63">
        <v>2</v>
      </c>
      <c r="S244" s="63">
        <v>242</v>
      </c>
      <c r="T244" s="63">
        <f t="shared" si="7"/>
        <v>49</v>
      </c>
      <c r="U244" s="63">
        <f t="shared" si="6"/>
        <v>0</v>
      </c>
      <c r="V244" s="63">
        <f>VLOOKUP(T244,$AA$2:$AC$68,3,FALSE)</f>
        <v>0</v>
      </c>
      <c r="W244" s="63">
        <v>2</v>
      </c>
    </row>
    <row r="245" spans="13:23" ht="12" customHeight="1">
      <c r="M245" s="63">
        <v>243</v>
      </c>
      <c r="N245" s="63">
        <v>49</v>
      </c>
      <c r="O245" s="63">
        <v>2</v>
      </c>
      <c r="P245" s="63">
        <v>3</v>
      </c>
      <c r="Q245" s="63">
        <v>3</v>
      </c>
      <c r="S245" s="63">
        <v>243</v>
      </c>
      <c r="T245" s="63">
        <f t="shared" si="7"/>
        <v>49</v>
      </c>
      <c r="U245" s="63">
        <f t="shared" si="6"/>
        <v>0</v>
      </c>
      <c r="V245" s="63">
        <f>VLOOKUP(T245,$AA$2:$AC$68,3,FALSE)</f>
        <v>0</v>
      </c>
      <c r="W245" s="63">
        <v>3</v>
      </c>
    </row>
    <row r="246" spans="13:23" ht="12" customHeight="1">
      <c r="M246" s="63">
        <v>244</v>
      </c>
      <c r="N246" s="63">
        <v>49</v>
      </c>
      <c r="O246" s="63">
        <v>2</v>
      </c>
      <c r="P246" s="63">
        <v>3</v>
      </c>
      <c r="Q246" s="63">
        <v>4</v>
      </c>
      <c r="S246" s="63">
        <v>244</v>
      </c>
      <c r="T246" s="63">
        <f t="shared" si="7"/>
        <v>49</v>
      </c>
      <c r="U246" s="63">
        <f t="shared" si="6"/>
        <v>0</v>
      </c>
      <c r="V246" s="63">
        <f>VLOOKUP(T246,$AA$2:$AC$68,3,FALSE)</f>
        <v>0</v>
      </c>
      <c r="W246" s="63">
        <v>4</v>
      </c>
    </row>
    <row r="247" spans="13:23" ht="12" customHeight="1">
      <c r="M247" s="63">
        <v>245</v>
      </c>
      <c r="N247" s="63">
        <v>49</v>
      </c>
      <c r="O247" s="63">
        <v>2</v>
      </c>
      <c r="P247" s="63">
        <v>3</v>
      </c>
      <c r="Q247" s="63">
        <v>5</v>
      </c>
      <c r="S247" s="63">
        <v>245</v>
      </c>
      <c r="T247" s="63">
        <f t="shared" si="7"/>
        <v>49</v>
      </c>
      <c r="U247" s="63">
        <f t="shared" si="6"/>
        <v>0</v>
      </c>
      <c r="V247" s="63">
        <f>VLOOKUP(T247,$AA$2:$AC$68,3,FALSE)</f>
        <v>0</v>
      </c>
      <c r="W247" s="63">
        <v>5</v>
      </c>
    </row>
    <row r="248" spans="13:23" ht="12" customHeight="1">
      <c r="M248" s="64">
        <v>246</v>
      </c>
      <c r="N248" s="64">
        <v>50</v>
      </c>
      <c r="O248" s="64">
        <v>11</v>
      </c>
      <c r="P248" s="64">
        <v>1</v>
      </c>
      <c r="Q248" s="64">
        <v>1</v>
      </c>
      <c r="S248" s="64">
        <v>246</v>
      </c>
      <c r="T248" s="64">
        <f t="shared" si="7"/>
        <v>50</v>
      </c>
      <c r="U248" s="64">
        <f t="shared" si="6"/>
        <v>0</v>
      </c>
      <c r="V248" s="64">
        <f>VLOOKUP(T248,$AA$3:$AC$68,3,FALSE)</f>
        <v>0</v>
      </c>
      <c r="W248" s="64">
        <v>1</v>
      </c>
    </row>
    <row r="249" spans="13:23" ht="12" customHeight="1">
      <c r="M249" s="64">
        <v>247</v>
      </c>
      <c r="N249" s="64">
        <v>50</v>
      </c>
      <c r="O249" s="64">
        <v>11</v>
      </c>
      <c r="P249" s="64">
        <v>1</v>
      </c>
      <c r="Q249" s="64">
        <v>2</v>
      </c>
      <c r="S249" s="64">
        <v>247</v>
      </c>
      <c r="T249" s="64">
        <f t="shared" si="7"/>
        <v>50</v>
      </c>
      <c r="U249" s="64">
        <f t="shared" si="6"/>
        <v>0</v>
      </c>
      <c r="V249" s="64">
        <f>VLOOKUP(T249,$AA$3:$AC$68,3,FALSE)</f>
        <v>0</v>
      </c>
      <c r="W249" s="64">
        <v>2</v>
      </c>
    </row>
    <row r="250" spans="13:23" ht="12" customHeight="1">
      <c r="M250" s="64">
        <v>248</v>
      </c>
      <c r="N250" s="64">
        <v>50</v>
      </c>
      <c r="O250" s="64">
        <v>11</v>
      </c>
      <c r="P250" s="64">
        <v>1</v>
      </c>
      <c r="Q250" s="64">
        <v>3</v>
      </c>
      <c r="S250" s="64">
        <v>248</v>
      </c>
      <c r="T250" s="64">
        <f t="shared" si="7"/>
        <v>50</v>
      </c>
      <c r="U250" s="64">
        <f t="shared" si="6"/>
        <v>0</v>
      </c>
      <c r="V250" s="64">
        <f>VLOOKUP(T250,$AA$3:$AC$68,3,FALSE)</f>
        <v>0</v>
      </c>
      <c r="W250" s="64">
        <v>3</v>
      </c>
    </row>
    <row r="251" spans="13:23" ht="12" customHeight="1">
      <c r="M251" s="64">
        <v>249</v>
      </c>
      <c r="N251" s="64">
        <v>50</v>
      </c>
      <c r="O251" s="64">
        <v>11</v>
      </c>
      <c r="P251" s="64">
        <v>1</v>
      </c>
      <c r="Q251" s="64">
        <v>4</v>
      </c>
      <c r="S251" s="64">
        <v>249</v>
      </c>
      <c r="T251" s="64">
        <f t="shared" si="7"/>
        <v>50</v>
      </c>
      <c r="U251" s="64">
        <f t="shared" si="6"/>
        <v>0</v>
      </c>
      <c r="V251" s="64">
        <f>VLOOKUP(T251,$AA$3:$AC$68,3,FALSE)</f>
        <v>0</v>
      </c>
      <c r="W251" s="64">
        <v>4</v>
      </c>
    </row>
    <row r="252" spans="13:23" ht="12" customHeight="1">
      <c r="M252" s="64">
        <v>250</v>
      </c>
      <c r="N252" s="64">
        <v>50</v>
      </c>
      <c r="O252" s="64">
        <v>11</v>
      </c>
      <c r="P252" s="64">
        <v>1</v>
      </c>
      <c r="Q252" s="64">
        <v>5</v>
      </c>
      <c r="S252" s="64">
        <v>250</v>
      </c>
      <c r="T252" s="64">
        <f t="shared" si="7"/>
        <v>50</v>
      </c>
      <c r="U252" s="64">
        <f t="shared" si="6"/>
        <v>0</v>
      </c>
      <c r="V252" s="64">
        <f>VLOOKUP(T252,$AA$3:$AC$68,3,FALSE)</f>
        <v>0</v>
      </c>
      <c r="W252" s="64">
        <v>5</v>
      </c>
    </row>
    <row r="253" spans="13:23" ht="12" customHeight="1">
      <c r="M253" s="63">
        <v>251</v>
      </c>
      <c r="N253" s="63">
        <v>51</v>
      </c>
      <c r="O253" s="63">
        <v>9</v>
      </c>
      <c r="P253" s="63">
        <v>10</v>
      </c>
      <c r="Q253" s="63">
        <v>1</v>
      </c>
      <c r="S253" s="63">
        <v>251</v>
      </c>
      <c r="T253" s="63">
        <f t="shared" si="7"/>
        <v>51</v>
      </c>
      <c r="U253" s="63">
        <f t="shared" si="6"/>
        <v>0</v>
      </c>
      <c r="V253" s="63">
        <f>VLOOKUP(T253,$AA$2:$AC$68,3,FALSE)</f>
        <v>0</v>
      </c>
      <c r="W253" s="63">
        <v>1</v>
      </c>
    </row>
    <row r="254" spans="13:23" ht="12" customHeight="1">
      <c r="M254" s="63">
        <v>252</v>
      </c>
      <c r="N254" s="63">
        <v>51</v>
      </c>
      <c r="O254" s="63">
        <v>9</v>
      </c>
      <c r="P254" s="63">
        <v>10</v>
      </c>
      <c r="Q254" s="63">
        <v>2</v>
      </c>
      <c r="S254" s="63">
        <v>252</v>
      </c>
      <c r="T254" s="63">
        <f t="shared" si="7"/>
        <v>51</v>
      </c>
      <c r="U254" s="63">
        <f t="shared" si="6"/>
        <v>0</v>
      </c>
      <c r="V254" s="63">
        <f>VLOOKUP(T254,$AA$2:$AC$68,3,FALSE)</f>
        <v>0</v>
      </c>
      <c r="W254" s="63">
        <v>2</v>
      </c>
    </row>
    <row r="255" spans="13:23" ht="12" customHeight="1">
      <c r="M255" s="63">
        <v>253</v>
      </c>
      <c r="N255" s="63">
        <v>51</v>
      </c>
      <c r="O255" s="63">
        <v>9</v>
      </c>
      <c r="P255" s="63">
        <v>10</v>
      </c>
      <c r="Q255" s="63">
        <v>3</v>
      </c>
      <c r="S255" s="63">
        <v>253</v>
      </c>
      <c r="T255" s="63">
        <f t="shared" si="7"/>
        <v>51</v>
      </c>
      <c r="U255" s="63">
        <f t="shared" si="6"/>
        <v>0</v>
      </c>
      <c r="V255" s="63">
        <f>VLOOKUP(T255,$AA$2:$AC$68,3,FALSE)</f>
        <v>0</v>
      </c>
      <c r="W255" s="63">
        <v>3</v>
      </c>
    </row>
    <row r="256" spans="13:23" ht="12" customHeight="1">
      <c r="M256" s="63">
        <v>254</v>
      </c>
      <c r="N256" s="63">
        <v>51</v>
      </c>
      <c r="O256" s="63">
        <v>9</v>
      </c>
      <c r="P256" s="63">
        <v>10</v>
      </c>
      <c r="Q256" s="63">
        <v>4</v>
      </c>
      <c r="S256" s="63">
        <v>254</v>
      </c>
      <c r="T256" s="63">
        <f t="shared" si="7"/>
        <v>51</v>
      </c>
      <c r="U256" s="63">
        <f t="shared" si="6"/>
        <v>0</v>
      </c>
      <c r="V256" s="63">
        <f>VLOOKUP(T256,$AA$2:$AC$68,3,FALSE)</f>
        <v>0</v>
      </c>
      <c r="W256" s="63">
        <v>4</v>
      </c>
    </row>
    <row r="257" spans="13:23" ht="12" customHeight="1">
      <c r="M257" s="63">
        <v>255</v>
      </c>
      <c r="N257" s="63">
        <v>51</v>
      </c>
      <c r="O257" s="63">
        <v>9</v>
      </c>
      <c r="P257" s="63">
        <v>10</v>
      </c>
      <c r="Q257" s="63">
        <v>5</v>
      </c>
      <c r="S257" s="63">
        <v>255</v>
      </c>
      <c r="T257" s="63">
        <f t="shared" si="7"/>
        <v>51</v>
      </c>
      <c r="U257" s="63">
        <f t="shared" si="6"/>
        <v>0</v>
      </c>
      <c r="V257" s="63">
        <f>VLOOKUP(T257,$AA$2:$AC$68,3,FALSE)</f>
        <v>0</v>
      </c>
      <c r="W257" s="63">
        <v>5</v>
      </c>
    </row>
    <row r="258" spans="13:23" ht="12" customHeight="1">
      <c r="M258" s="64">
        <v>256</v>
      </c>
      <c r="N258" s="64">
        <v>52</v>
      </c>
      <c r="O258" s="64">
        <v>7</v>
      </c>
      <c r="P258" s="64">
        <v>8</v>
      </c>
      <c r="Q258" s="64">
        <v>1</v>
      </c>
      <c r="S258" s="64">
        <v>256</v>
      </c>
      <c r="T258" s="64">
        <f t="shared" si="7"/>
        <v>52</v>
      </c>
      <c r="U258" s="64">
        <f t="shared" si="6"/>
        <v>0</v>
      </c>
      <c r="V258" s="64">
        <f>VLOOKUP(T258,$AA$3:$AC$68,3,FALSE)</f>
        <v>0</v>
      </c>
      <c r="W258" s="64">
        <v>1</v>
      </c>
    </row>
    <row r="259" spans="13:23" ht="12" customHeight="1">
      <c r="M259" s="64">
        <v>257</v>
      </c>
      <c r="N259" s="64">
        <v>52</v>
      </c>
      <c r="O259" s="64">
        <v>7</v>
      </c>
      <c r="P259" s="64">
        <v>8</v>
      </c>
      <c r="Q259" s="64">
        <v>2</v>
      </c>
      <c r="S259" s="64">
        <v>257</v>
      </c>
      <c r="T259" s="64">
        <f t="shared" si="7"/>
        <v>52</v>
      </c>
      <c r="U259" s="64">
        <f aca="true" t="shared" si="8" ref="U259:U322">VLOOKUP(T259,$AA$3:$AC$68,2,FALSE)</f>
        <v>0</v>
      </c>
      <c r="V259" s="64">
        <f>VLOOKUP(T259,$AA$3:$AC$68,3,FALSE)</f>
        <v>0</v>
      </c>
      <c r="W259" s="64">
        <v>2</v>
      </c>
    </row>
    <row r="260" spans="13:23" ht="12" customHeight="1">
      <c r="M260" s="64">
        <v>258</v>
      </c>
      <c r="N260" s="64">
        <v>52</v>
      </c>
      <c r="O260" s="64">
        <v>7</v>
      </c>
      <c r="P260" s="64">
        <v>8</v>
      </c>
      <c r="Q260" s="64">
        <v>3</v>
      </c>
      <c r="S260" s="64">
        <v>258</v>
      </c>
      <c r="T260" s="64">
        <f t="shared" si="7"/>
        <v>52</v>
      </c>
      <c r="U260" s="64">
        <f t="shared" si="8"/>
        <v>0</v>
      </c>
      <c r="V260" s="64">
        <f>VLOOKUP(T260,$AA$3:$AC$68,3,FALSE)</f>
        <v>0</v>
      </c>
      <c r="W260" s="64">
        <v>3</v>
      </c>
    </row>
    <row r="261" spans="13:23" ht="12" customHeight="1">
      <c r="M261" s="64">
        <v>259</v>
      </c>
      <c r="N261" s="64">
        <v>52</v>
      </c>
      <c r="O261" s="64">
        <v>7</v>
      </c>
      <c r="P261" s="64">
        <v>8</v>
      </c>
      <c r="Q261" s="64">
        <v>4</v>
      </c>
      <c r="S261" s="64">
        <v>259</v>
      </c>
      <c r="T261" s="64">
        <f t="shared" si="7"/>
        <v>52</v>
      </c>
      <c r="U261" s="64">
        <f t="shared" si="8"/>
        <v>0</v>
      </c>
      <c r="V261" s="64">
        <f>VLOOKUP(T261,$AA$3:$AC$68,3,FALSE)</f>
        <v>0</v>
      </c>
      <c r="W261" s="64">
        <v>4</v>
      </c>
    </row>
    <row r="262" spans="13:23" ht="12" customHeight="1">
      <c r="M262" s="64">
        <v>260</v>
      </c>
      <c r="N262" s="64">
        <v>52</v>
      </c>
      <c r="O262" s="64">
        <v>7</v>
      </c>
      <c r="P262" s="64">
        <v>8</v>
      </c>
      <c r="Q262" s="64">
        <v>5</v>
      </c>
      <c r="S262" s="64">
        <v>260</v>
      </c>
      <c r="T262" s="64">
        <f t="shared" si="7"/>
        <v>52</v>
      </c>
      <c r="U262" s="64">
        <f t="shared" si="8"/>
        <v>0</v>
      </c>
      <c r="V262" s="64">
        <f>VLOOKUP(T262,$AA$3:$AC$68,3,FALSE)</f>
        <v>0</v>
      </c>
      <c r="W262" s="64">
        <v>5</v>
      </c>
    </row>
    <row r="263" spans="13:23" ht="12" customHeight="1">
      <c r="M263" s="63">
        <v>261</v>
      </c>
      <c r="N263" s="63">
        <v>53</v>
      </c>
      <c r="O263" s="63">
        <v>5</v>
      </c>
      <c r="P263" s="63">
        <v>6</v>
      </c>
      <c r="Q263" s="63">
        <v>64.939393939394</v>
      </c>
      <c r="S263" s="63">
        <v>261</v>
      </c>
      <c r="T263" s="63">
        <f t="shared" si="7"/>
        <v>53</v>
      </c>
      <c r="U263" s="63">
        <f t="shared" si="8"/>
        <v>0</v>
      </c>
      <c r="V263" s="63">
        <f>VLOOKUP(T263,$AA$2:$AC$68,3,FALSE)</f>
        <v>0</v>
      </c>
      <c r="W263" s="63">
        <v>1</v>
      </c>
    </row>
    <row r="264" spans="13:23" ht="12" customHeight="1">
      <c r="M264" s="63">
        <v>262</v>
      </c>
      <c r="N264" s="63">
        <v>53</v>
      </c>
      <c r="O264" s="63">
        <v>5</v>
      </c>
      <c r="P264" s="63">
        <v>6</v>
      </c>
      <c r="Q264" s="63">
        <v>65.1818181818182</v>
      </c>
      <c r="S264" s="63">
        <v>262</v>
      </c>
      <c r="T264" s="63">
        <f aca="true" t="shared" si="9" ref="T264:T327">T259+1</f>
        <v>53</v>
      </c>
      <c r="U264" s="63">
        <f t="shared" si="8"/>
        <v>0</v>
      </c>
      <c r="V264" s="63">
        <f>VLOOKUP(T264,$AA$2:$AC$68,3,FALSE)</f>
        <v>0</v>
      </c>
      <c r="W264" s="63">
        <v>2</v>
      </c>
    </row>
    <row r="265" spans="13:23" ht="12" customHeight="1">
      <c r="M265" s="63">
        <v>263</v>
      </c>
      <c r="N265" s="63">
        <v>53</v>
      </c>
      <c r="O265" s="63">
        <v>5</v>
      </c>
      <c r="P265" s="63">
        <v>6</v>
      </c>
      <c r="Q265" s="63">
        <v>65.4242424242425</v>
      </c>
      <c r="S265" s="63">
        <v>263</v>
      </c>
      <c r="T265" s="63">
        <f t="shared" si="9"/>
        <v>53</v>
      </c>
      <c r="U265" s="63">
        <f t="shared" si="8"/>
        <v>0</v>
      </c>
      <c r="V265" s="63">
        <f>VLOOKUP(T265,$AA$2:$AC$68,3,FALSE)</f>
        <v>0</v>
      </c>
      <c r="W265" s="63">
        <v>3</v>
      </c>
    </row>
    <row r="266" spans="13:23" ht="12" customHeight="1">
      <c r="M266" s="63">
        <v>264</v>
      </c>
      <c r="N266" s="63">
        <v>53</v>
      </c>
      <c r="O266" s="63">
        <v>5</v>
      </c>
      <c r="P266" s="63">
        <v>6</v>
      </c>
      <c r="Q266" s="63">
        <v>65.6666666666667</v>
      </c>
      <c r="S266" s="63">
        <v>264</v>
      </c>
      <c r="T266" s="63">
        <f t="shared" si="9"/>
        <v>53</v>
      </c>
      <c r="U266" s="63">
        <f t="shared" si="8"/>
        <v>0</v>
      </c>
      <c r="V266" s="63">
        <f>VLOOKUP(T266,$AA$2:$AC$68,3,FALSE)</f>
        <v>0</v>
      </c>
      <c r="W266" s="63">
        <v>4</v>
      </c>
    </row>
    <row r="267" spans="13:23" ht="12" customHeight="1">
      <c r="M267" s="63">
        <v>265</v>
      </c>
      <c r="N267" s="63">
        <v>53</v>
      </c>
      <c r="O267" s="63">
        <v>5</v>
      </c>
      <c r="P267" s="63">
        <v>6</v>
      </c>
      <c r="Q267" s="63">
        <v>65.909090909091</v>
      </c>
      <c r="S267" s="63">
        <v>265</v>
      </c>
      <c r="T267" s="63">
        <f t="shared" si="9"/>
        <v>53</v>
      </c>
      <c r="U267" s="63">
        <f t="shared" si="8"/>
        <v>0</v>
      </c>
      <c r="V267" s="63">
        <f>VLOOKUP(T267,$AA$2:$AC$68,3,FALSE)</f>
        <v>0</v>
      </c>
      <c r="W267" s="63">
        <v>5</v>
      </c>
    </row>
    <row r="268" spans="13:23" ht="12" customHeight="1">
      <c r="M268" s="64">
        <v>266</v>
      </c>
      <c r="N268" s="64">
        <v>54</v>
      </c>
      <c r="O268" s="64">
        <v>3</v>
      </c>
      <c r="P268" s="64">
        <v>4</v>
      </c>
      <c r="Q268" s="64">
        <v>66.1515151515152</v>
      </c>
      <c r="S268" s="64">
        <v>266</v>
      </c>
      <c r="T268" s="64">
        <f t="shared" si="9"/>
        <v>54</v>
      </c>
      <c r="U268" s="64">
        <f t="shared" si="8"/>
        <v>0</v>
      </c>
      <c r="V268" s="64">
        <f>VLOOKUP(T268,$AA$3:$AC$68,3,FALSE)</f>
        <v>0</v>
      </c>
      <c r="W268" s="64">
        <v>1</v>
      </c>
    </row>
    <row r="269" spans="13:23" ht="12" customHeight="1">
      <c r="M269" s="64">
        <v>267</v>
      </c>
      <c r="N269" s="64">
        <v>54</v>
      </c>
      <c r="O269" s="64">
        <v>3</v>
      </c>
      <c r="P269" s="64">
        <v>4</v>
      </c>
      <c r="Q269" s="64">
        <v>66.3939393939395</v>
      </c>
      <c r="S269" s="64">
        <v>267</v>
      </c>
      <c r="T269" s="64">
        <f t="shared" si="9"/>
        <v>54</v>
      </c>
      <c r="U269" s="64">
        <f t="shared" si="8"/>
        <v>0</v>
      </c>
      <c r="V269" s="64">
        <f>VLOOKUP(T269,$AA$3:$AC$68,3,FALSE)</f>
        <v>0</v>
      </c>
      <c r="W269" s="64">
        <v>2</v>
      </c>
    </row>
    <row r="270" spans="13:23" ht="12" customHeight="1">
      <c r="M270" s="64">
        <v>268</v>
      </c>
      <c r="N270" s="64">
        <v>54</v>
      </c>
      <c r="O270" s="64">
        <v>3</v>
      </c>
      <c r="P270" s="64">
        <v>4</v>
      </c>
      <c r="Q270" s="64">
        <v>66.6363636363637</v>
      </c>
      <c r="S270" s="64">
        <v>268</v>
      </c>
      <c r="T270" s="64">
        <f t="shared" si="9"/>
        <v>54</v>
      </c>
      <c r="U270" s="64">
        <f t="shared" si="8"/>
        <v>0</v>
      </c>
      <c r="V270" s="64">
        <f>VLOOKUP(T270,$AA$3:$AC$68,3,FALSE)</f>
        <v>0</v>
      </c>
      <c r="W270" s="64">
        <v>3</v>
      </c>
    </row>
    <row r="271" spans="13:23" ht="12" customHeight="1">
      <c r="M271" s="64">
        <v>269</v>
      </c>
      <c r="N271" s="64">
        <v>54</v>
      </c>
      <c r="O271" s="64">
        <v>3</v>
      </c>
      <c r="P271" s="64">
        <v>4</v>
      </c>
      <c r="Q271" s="64">
        <v>66.8787878787879</v>
      </c>
      <c r="S271" s="64">
        <v>269</v>
      </c>
      <c r="T271" s="64">
        <f t="shared" si="9"/>
        <v>54</v>
      </c>
      <c r="U271" s="64">
        <f t="shared" si="8"/>
        <v>0</v>
      </c>
      <c r="V271" s="64">
        <f>VLOOKUP(T271,$AA$3:$AC$68,3,FALSE)</f>
        <v>0</v>
      </c>
      <c r="W271" s="64">
        <v>4</v>
      </c>
    </row>
    <row r="272" spans="13:23" ht="12" customHeight="1">
      <c r="M272" s="64">
        <v>270</v>
      </c>
      <c r="N272" s="64">
        <v>54</v>
      </c>
      <c r="O272" s="64">
        <v>3</v>
      </c>
      <c r="P272" s="64">
        <v>4</v>
      </c>
      <c r="Q272" s="64">
        <v>67.1212121212122</v>
      </c>
      <c r="S272" s="64">
        <v>270</v>
      </c>
      <c r="T272" s="64">
        <f t="shared" si="9"/>
        <v>54</v>
      </c>
      <c r="U272" s="64">
        <f t="shared" si="8"/>
        <v>0</v>
      </c>
      <c r="V272" s="64">
        <f>VLOOKUP(T272,$AA$3:$AC$68,3,FALSE)</f>
        <v>0</v>
      </c>
      <c r="W272" s="64">
        <v>5</v>
      </c>
    </row>
    <row r="273" spans="13:23" ht="12" customHeight="1">
      <c r="M273" s="63">
        <v>271</v>
      </c>
      <c r="N273" s="63">
        <v>55</v>
      </c>
      <c r="O273" s="63">
        <v>1</v>
      </c>
      <c r="P273" s="63">
        <v>2</v>
      </c>
      <c r="Q273" s="63">
        <v>67.3636363636364</v>
      </c>
      <c r="S273" s="63">
        <v>271</v>
      </c>
      <c r="T273" s="63">
        <f t="shared" si="9"/>
        <v>55</v>
      </c>
      <c r="U273" s="63">
        <f t="shared" si="8"/>
        <v>0</v>
      </c>
      <c r="V273" s="63">
        <f>VLOOKUP(T273,$AA$2:$AC$68,3,FALSE)</f>
        <v>0</v>
      </c>
      <c r="W273" s="63">
        <v>1</v>
      </c>
    </row>
    <row r="274" spans="13:23" ht="12" customHeight="1">
      <c r="M274" s="63">
        <v>272</v>
      </c>
      <c r="N274" s="63">
        <v>55</v>
      </c>
      <c r="O274" s="63">
        <v>1</v>
      </c>
      <c r="P274" s="63">
        <v>2</v>
      </c>
      <c r="Q274" s="63">
        <v>67.6060606060607</v>
      </c>
      <c r="S274" s="63">
        <v>272</v>
      </c>
      <c r="T274" s="63">
        <f t="shared" si="9"/>
        <v>55</v>
      </c>
      <c r="U274" s="63">
        <f t="shared" si="8"/>
        <v>0</v>
      </c>
      <c r="V274" s="63">
        <f>VLOOKUP(T274,$AA$2:$AC$68,3,FALSE)</f>
        <v>0</v>
      </c>
      <c r="W274" s="63">
        <v>2</v>
      </c>
    </row>
    <row r="275" spans="13:23" ht="12" customHeight="1">
      <c r="M275" s="63">
        <v>273</v>
      </c>
      <c r="N275" s="63">
        <v>55</v>
      </c>
      <c r="O275" s="63">
        <v>1</v>
      </c>
      <c r="P275" s="63">
        <v>2</v>
      </c>
      <c r="Q275" s="63">
        <v>67.8484848484849</v>
      </c>
      <c r="S275" s="63">
        <v>273</v>
      </c>
      <c r="T275" s="63">
        <f t="shared" si="9"/>
        <v>55</v>
      </c>
      <c r="U275" s="63">
        <f t="shared" si="8"/>
        <v>0</v>
      </c>
      <c r="V275" s="63">
        <f>VLOOKUP(T275,$AA$2:$AC$68,3,FALSE)</f>
        <v>0</v>
      </c>
      <c r="W275" s="63">
        <v>3</v>
      </c>
    </row>
    <row r="276" spans="13:23" ht="12" customHeight="1">
      <c r="M276" s="63">
        <v>274</v>
      </c>
      <c r="N276" s="63">
        <v>55</v>
      </c>
      <c r="O276" s="63">
        <v>1</v>
      </c>
      <c r="P276" s="63">
        <v>2</v>
      </c>
      <c r="Q276" s="63">
        <v>68.0909090909092</v>
      </c>
      <c r="S276" s="63">
        <v>274</v>
      </c>
      <c r="T276" s="63">
        <f t="shared" si="9"/>
        <v>55</v>
      </c>
      <c r="U276" s="63">
        <f t="shared" si="8"/>
        <v>0</v>
      </c>
      <c r="V276" s="63">
        <f>VLOOKUP(T276,$AA$2:$AC$68,3,FALSE)</f>
        <v>0</v>
      </c>
      <c r="W276" s="63">
        <v>4</v>
      </c>
    </row>
    <row r="277" spans="13:23" ht="12" customHeight="1">
      <c r="M277" s="63">
        <v>275</v>
      </c>
      <c r="N277" s="63">
        <v>55</v>
      </c>
      <c r="O277" s="63">
        <v>1</v>
      </c>
      <c r="P277" s="63">
        <v>2</v>
      </c>
      <c r="Q277" s="63">
        <v>68.3333333333334</v>
      </c>
      <c r="S277" s="63">
        <v>275</v>
      </c>
      <c r="T277" s="63">
        <f t="shared" si="9"/>
        <v>55</v>
      </c>
      <c r="U277" s="63">
        <f t="shared" si="8"/>
        <v>0</v>
      </c>
      <c r="V277" s="63">
        <f>VLOOKUP(T277,$AA$2:$AC$68,3,FALSE)</f>
        <v>0</v>
      </c>
      <c r="W277" s="63">
        <v>5</v>
      </c>
    </row>
    <row r="278" spans="19:23" ht="12" customHeight="1">
      <c r="S278" s="64">
        <v>276</v>
      </c>
      <c r="T278" s="64">
        <f t="shared" si="9"/>
        <v>56</v>
      </c>
      <c r="U278" s="64">
        <f t="shared" si="8"/>
        <v>0</v>
      </c>
      <c r="V278" s="64">
        <f>VLOOKUP(T278,$AA$3:$AC$68,3,FALSE)</f>
        <v>0</v>
      </c>
      <c r="W278" s="64">
        <v>1</v>
      </c>
    </row>
    <row r="279" spans="19:23" ht="12" customHeight="1">
      <c r="S279" s="64">
        <v>277</v>
      </c>
      <c r="T279" s="64">
        <f t="shared" si="9"/>
        <v>56</v>
      </c>
      <c r="U279" s="64">
        <f t="shared" si="8"/>
        <v>0</v>
      </c>
      <c r="V279" s="64">
        <f>VLOOKUP(T279,$AA$3:$AC$68,3,FALSE)</f>
        <v>0</v>
      </c>
      <c r="W279" s="64">
        <v>2</v>
      </c>
    </row>
    <row r="280" spans="19:23" ht="12" customHeight="1">
      <c r="S280" s="64">
        <v>278</v>
      </c>
      <c r="T280" s="64">
        <f t="shared" si="9"/>
        <v>56</v>
      </c>
      <c r="U280" s="64">
        <f t="shared" si="8"/>
        <v>0</v>
      </c>
      <c r="V280" s="64">
        <f>VLOOKUP(T280,$AA$3:$AC$68,3,FALSE)</f>
        <v>0</v>
      </c>
      <c r="W280" s="64">
        <v>3</v>
      </c>
    </row>
    <row r="281" spans="19:23" ht="12" customHeight="1">
      <c r="S281" s="64">
        <v>279</v>
      </c>
      <c r="T281" s="64">
        <f t="shared" si="9"/>
        <v>56</v>
      </c>
      <c r="U281" s="64">
        <f t="shared" si="8"/>
        <v>0</v>
      </c>
      <c r="V281" s="64">
        <f>VLOOKUP(T281,$AA$3:$AC$68,3,FALSE)</f>
        <v>0</v>
      </c>
      <c r="W281" s="64">
        <v>4</v>
      </c>
    </row>
    <row r="282" spans="19:23" ht="12" customHeight="1">
      <c r="S282" s="64">
        <v>280</v>
      </c>
      <c r="T282" s="64">
        <f t="shared" si="9"/>
        <v>56</v>
      </c>
      <c r="U282" s="64">
        <f t="shared" si="8"/>
        <v>0</v>
      </c>
      <c r="V282" s="64">
        <f>VLOOKUP(T282,$AA$3:$AC$68,3,FALSE)</f>
        <v>0</v>
      </c>
      <c r="W282" s="64">
        <v>5</v>
      </c>
    </row>
    <row r="283" spans="19:23" ht="12" customHeight="1">
      <c r="S283" s="63">
        <v>281</v>
      </c>
      <c r="T283" s="63">
        <f t="shared" si="9"/>
        <v>57</v>
      </c>
      <c r="U283" s="63">
        <f t="shared" si="8"/>
        <v>0</v>
      </c>
      <c r="V283" s="63">
        <f>VLOOKUP(T283,$AA$2:$AC$68,3,FALSE)</f>
        <v>0</v>
      </c>
      <c r="W283" s="63">
        <v>1</v>
      </c>
    </row>
    <row r="284" spans="19:23" ht="12" customHeight="1">
      <c r="S284" s="63">
        <v>282</v>
      </c>
      <c r="T284" s="63">
        <f t="shared" si="9"/>
        <v>57</v>
      </c>
      <c r="U284" s="63">
        <f t="shared" si="8"/>
        <v>0</v>
      </c>
      <c r="V284" s="63">
        <f>VLOOKUP(T284,$AA$2:$AC$68,3,FALSE)</f>
        <v>0</v>
      </c>
      <c r="W284" s="63">
        <v>2</v>
      </c>
    </row>
    <row r="285" spans="19:23" ht="12" customHeight="1">
      <c r="S285" s="63">
        <v>283</v>
      </c>
      <c r="T285" s="63">
        <f t="shared" si="9"/>
        <v>57</v>
      </c>
      <c r="U285" s="63">
        <f t="shared" si="8"/>
        <v>0</v>
      </c>
      <c r="V285" s="63">
        <f>VLOOKUP(T285,$AA$2:$AC$68,3,FALSE)</f>
        <v>0</v>
      </c>
      <c r="W285" s="63">
        <v>3</v>
      </c>
    </row>
    <row r="286" spans="19:23" ht="12" customHeight="1">
      <c r="S286" s="63">
        <v>284</v>
      </c>
      <c r="T286" s="63">
        <f t="shared" si="9"/>
        <v>57</v>
      </c>
      <c r="U286" s="63">
        <f t="shared" si="8"/>
        <v>0</v>
      </c>
      <c r="V286" s="63">
        <f>VLOOKUP(T286,$AA$2:$AC$68,3,FALSE)</f>
        <v>0</v>
      </c>
      <c r="W286" s="63">
        <v>4</v>
      </c>
    </row>
    <row r="287" spans="19:23" ht="12" customHeight="1">
      <c r="S287" s="63">
        <v>285</v>
      </c>
      <c r="T287" s="63">
        <f t="shared" si="9"/>
        <v>57</v>
      </c>
      <c r="U287" s="63">
        <f t="shared" si="8"/>
        <v>0</v>
      </c>
      <c r="V287" s="63">
        <f>VLOOKUP(T287,$AA$2:$AC$68,3,FALSE)</f>
        <v>0</v>
      </c>
      <c r="W287" s="63">
        <v>5</v>
      </c>
    </row>
    <row r="288" spans="19:23" ht="12" customHeight="1">
      <c r="S288" s="64">
        <v>286</v>
      </c>
      <c r="T288" s="64">
        <f t="shared" si="9"/>
        <v>58</v>
      </c>
      <c r="U288" s="64">
        <f t="shared" si="8"/>
        <v>0</v>
      </c>
      <c r="V288" s="64">
        <f>VLOOKUP(T288,$AA$3:$AC$68,3,FALSE)</f>
        <v>0</v>
      </c>
      <c r="W288" s="64">
        <v>1</v>
      </c>
    </row>
    <row r="289" spans="19:23" ht="12" customHeight="1">
      <c r="S289" s="64">
        <v>287</v>
      </c>
      <c r="T289" s="64">
        <f t="shared" si="9"/>
        <v>58</v>
      </c>
      <c r="U289" s="64">
        <f t="shared" si="8"/>
        <v>0</v>
      </c>
      <c r="V289" s="64">
        <f>VLOOKUP(T289,$AA$3:$AC$68,3,FALSE)</f>
        <v>0</v>
      </c>
      <c r="W289" s="64">
        <v>2</v>
      </c>
    </row>
    <row r="290" spans="19:23" ht="12" customHeight="1">
      <c r="S290" s="64">
        <v>288</v>
      </c>
      <c r="T290" s="64">
        <f t="shared" si="9"/>
        <v>58</v>
      </c>
      <c r="U290" s="64">
        <f t="shared" si="8"/>
        <v>0</v>
      </c>
      <c r="V290" s="64">
        <f>VLOOKUP(T290,$AA$3:$AC$68,3,FALSE)</f>
        <v>0</v>
      </c>
      <c r="W290" s="64">
        <v>3</v>
      </c>
    </row>
    <row r="291" spans="19:23" ht="12" customHeight="1">
      <c r="S291" s="64">
        <v>289</v>
      </c>
      <c r="T291" s="64">
        <f t="shared" si="9"/>
        <v>58</v>
      </c>
      <c r="U291" s="64">
        <f t="shared" si="8"/>
        <v>0</v>
      </c>
      <c r="V291" s="64">
        <f>VLOOKUP(T291,$AA$3:$AC$68,3,FALSE)</f>
        <v>0</v>
      </c>
      <c r="W291" s="64">
        <v>4</v>
      </c>
    </row>
    <row r="292" spans="19:23" ht="12" customHeight="1">
      <c r="S292" s="64">
        <v>290</v>
      </c>
      <c r="T292" s="64">
        <f t="shared" si="9"/>
        <v>58</v>
      </c>
      <c r="U292" s="64">
        <f t="shared" si="8"/>
        <v>0</v>
      </c>
      <c r="V292" s="64">
        <f>VLOOKUP(T292,$AA$3:$AC$68,3,FALSE)</f>
        <v>0</v>
      </c>
      <c r="W292" s="64">
        <v>5</v>
      </c>
    </row>
    <row r="293" spans="19:23" ht="12" customHeight="1">
      <c r="S293" s="63">
        <v>291</v>
      </c>
      <c r="T293" s="63">
        <f t="shared" si="9"/>
        <v>59</v>
      </c>
      <c r="U293" s="63">
        <f t="shared" si="8"/>
        <v>0</v>
      </c>
      <c r="V293" s="63">
        <f>VLOOKUP(T293,$AA$2:$AC$68,3,FALSE)</f>
        <v>0</v>
      </c>
      <c r="W293" s="63">
        <v>1</v>
      </c>
    </row>
    <row r="294" spans="19:23" ht="12" customHeight="1">
      <c r="S294" s="63">
        <v>292</v>
      </c>
      <c r="T294" s="63">
        <f t="shared" si="9"/>
        <v>59</v>
      </c>
      <c r="U294" s="63">
        <f t="shared" si="8"/>
        <v>0</v>
      </c>
      <c r="V294" s="63">
        <f>VLOOKUP(T294,$AA$2:$AC$68,3,FALSE)</f>
        <v>0</v>
      </c>
      <c r="W294" s="63">
        <v>2</v>
      </c>
    </row>
    <row r="295" spans="19:23" ht="12" customHeight="1">
      <c r="S295" s="63">
        <v>293</v>
      </c>
      <c r="T295" s="63">
        <f t="shared" si="9"/>
        <v>59</v>
      </c>
      <c r="U295" s="63">
        <f t="shared" si="8"/>
        <v>0</v>
      </c>
      <c r="V295" s="63">
        <f>VLOOKUP(T295,$AA$2:$AC$68,3,FALSE)</f>
        <v>0</v>
      </c>
      <c r="W295" s="63">
        <v>3</v>
      </c>
    </row>
    <row r="296" spans="19:23" ht="12" customHeight="1">
      <c r="S296" s="63">
        <v>294</v>
      </c>
      <c r="T296" s="63">
        <f t="shared" si="9"/>
        <v>59</v>
      </c>
      <c r="U296" s="63">
        <f t="shared" si="8"/>
        <v>0</v>
      </c>
      <c r="V296" s="63">
        <f>VLOOKUP(T296,$AA$2:$AC$68,3,FALSE)</f>
        <v>0</v>
      </c>
      <c r="W296" s="63">
        <v>4</v>
      </c>
    </row>
    <row r="297" spans="19:23" ht="12" customHeight="1">
      <c r="S297" s="63">
        <v>295</v>
      </c>
      <c r="T297" s="63">
        <f t="shared" si="9"/>
        <v>59</v>
      </c>
      <c r="U297" s="63">
        <f t="shared" si="8"/>
        <v>0</v>
      </c>
      <c r="V297" s="63">
        <f>VLOOKUP(T297,$AA$2:$AC$68,3,FALSE)</f>
        <v>0</v>
      </c>
      <c r="W297" s="63">
        <v>5</v>
      </c>
    </row>
    <row r="298" spans="19:23" ht="12" customHeight="1">
      <c r="S298" s="64">
        <v>296</v>
      </c>
      <c r="T298" s="64">
        <f t="shared" si="9"/>
        <v>60</v>
      </c>
      <c r="U298" s="64">
        <f t="shared" si="8"/>
        <v>0</v>
      </c>
      <c r="V298" s="64">
        <f>VLOOKUP(T298,$AA$3:$AC$68,3,FALSE)</f>
        <v>0</v>
      </c>
      <c r="W298" s="64">
        <v>1</v>
      </c>
    </row>
    <row r="299" spans="19:23" ht="12" customHeight="1">
      <c r="S299" s="64">
        <v>297</v>
      </c>
      <c r="T299" s="64">
        <f t="shared" si="9"/>
        <v>60</v>
      </c>
      <c r="U299" s="64">
        <f t="shared" si="8"/>
        <v>0</v>
      </c>
      <c r="V299" s="64">
        <f>VLOOKUP(T299,$AA$3:$AC$68,3,FALSE)</f>
        <v>0</v>
      </c>
      <c r="W299" s="64">
        <v>2</v>
      </c>
    </row>
    <row r="300" spans="19:23" ht="12" customHeight="1">
      <c r="S300" s="64">
        <v>298</v>
      </c>
      <c r="T300" s="64">
        <f t="shared" si="9"/>
        <v>60</v>
      </c>
      <c r="U300" s="64">
        <f t="shared" si="8"/>
        <v>0</v>
      </c>
      <c r="V300" s="64">
        <f>VLOOKUP(T300,$AA$3:$AC$68,3,FALSE)</f>
        <v>0</v>
      </c>
      <c r="W300" s="64">
        <v>3</v>
      </c>
    </row>
    <row r="301" spans="19:23" ht="12" customHeight="1">
      <c r="S301" s="64">
        <v>299</v>
      </c>
      <c r="T301" s="64">
        <f t="shared" si="9"/>
        <v>60</v>
      </c>
      <c r="U301" s="64">
        <f t="shared" si="8"/>
        <v>0</v>
      </c>
      <c r="V301" s="64">
        <f>VLOOKUP(T301,$AA$3:$AC$68,3,FALSE)</f>
        <v>0</v>
      </c>
      <c r="W301" s="64">
        <v>4</v>
      </c>
    </row>
    <row r="302" spans="19:23" ht="12" customHeight="1">
      <c r="S302" s="64">
        <v>300</v>
      </c>
      <c r="T302" s="64">
        <f t="shared" si="9"/>
        <v>60</v>
      </c>
      <c r="U302" s="64">
        <f t="shared" si="8"/>
        <v>0</v>
      </c>
      <c r="V302" s="64">
        <f>VLOOKUP(T302,$AA$3:$AC$68,3,FALSE)</f>
        <v>0</v>
      </c>
      <c r="W302" s="64">
        <v>5</v>
      </c>
    </row>
    <row r="303" spans="19:23" ht="12" customHeight="1">
      <c r="S303" s="63">
        <v>301</v>
      </c>
      <c r="T303" s="63">
        <f t="shared" si="9"/>
        <v>61</v>
      </c>
      <c r="U303" s="63">
        <f t="shared" si="8"/>
        <v>0</v>
      </c>
      <c r="V303" s="63">
        <f>VLOOKUP(T303,$AA$2:$AC$68,3,FALSE)</f>
        <v>0</v>
      </c>
      <c r="W303" s="63">
        <v>1</v>
      </c>
    </row>
    <row r="304" spans="19:23" ht="12" customHeight="1">
      <c r="S304" s="63">
        <v>302</v>
      </c>
      <c r="T304" s="63">
        <f t="shared" si="9"/>
        <v>61</v>
      </c>
      <c r="U304" s="63">
        <f t="shared" si="8"/>
        <v>0</v>
      </c>
      <c r="V304" s="63">
        <f>VLOOKUP(T304,$AA$2:$AC$68,3,FALSE)</f>
        <v>0</v>
      </c>
      <c r="W304" s="63">
        <v>2</v>
      </c>
    </row>
    <row r="305" spans="19:23" ht="12" customHeight="1">
      <c r="S305" s="63">
        <v>303</v>
      </c>
      <c r="T305" s="63">
        <f t="shared" si="9"/>
        <v>61</v>
      </c>
      <c r="U305" s="63">
        <f t="shared" si="8"/>
        <v>0</v>
      </c>
      <c r="V305" s="63">
        <f>VLOOKUP(T305,$AA$2:$AC$68,3,FALSE)</f>
        <v>0</v>
      </c>
      <c r="W305" s="63">
        <v>3</v>
      </c>
    </row>
    <row r="306" spans="19:23" ht="12" customHeight="1">
      <c r="S306" s="63">
        <v>304</v>
      </c>
      <c r="T306" s="63">
        <f t="shared" si="9"/>
        <v>61</v>
      </c>
      <c r="U306" s="63">
        <f t="shared" si="8"/>
        <v>0</v>
      </c>
      <c r="V306" s="63">
        <f>VLOOKUP(T306,$AA$2:$AC$68,3,FALSE)</f>
        <v>0</v>
      </c>
      <c r="W306" s="63">
        <v>4</v>
      </c>
    </row>
    <row r="307" spans="19:23" ht="12" customHeight="1">
      <c r="S307" s="63">
        <v>305</v>
      </c>
      <c r="T307" s="63">
        <f t="shared" si="9"/>
        <v>61</v>
      </c>
      <c r="U307" s="63">
        <f t="shared" si="8"/>
        <v>0</v>
      </c>
      <c r="V307" s="63">
        <f>VLOOKUP(T307,$AA$2:$AC$68,3,FALSE)</f>
        <v>0</v>
      </c>
      <c r="W307" s="63">
        <v>5</v>
      </c>
    </row>
    <row r="308" spans="19:23" ht="12" customHeight="1">
      <c r="S308" s="64">
        <v>306</v>
      </c>
      <c r="T308" s="64">
        <f t="shared" si="9"/>
        <v>62</v>
      </c>
      <c r="U308" s="64">
        <f t="shared" si="8"/>
        <v>0</v>
      </c>
      <c r="V308" s="64">
        <f>VLOOKUP(T308,$AA$3:$AC$68,3,FALSE)</f>
        <v>0</v>
      </c>
      <c r="W308" s="64">
        <v>1</v>
      </c>
    </row>
    <row r="309" spans="19:23" ht="12" customHeight="1">
      <c r="S309" s="64">
        <v>307</v>
      </c>
      <c r="T309" s="64">
        <f t="shared" si="9"/>
        <v>62</v>
      </c>
      <c r="U309" s="64">
        <f t="shared" si="8"/>
        <v>0</v>
      </c>
      <c r="V309" s="64">
        <f>VLOOKUP(T309,$AA$3:$AC$68,3,FALSE)</f>
        <v>0</v>
      </c>
      <c r="W309" s="64">
        <v>2</v>
      </c>
    </row>
    <row r="310" spans="19:23" ht="12" customHeight="1">
      <c r="S310" s="64">
        <v>308</v>
      </c>
      <c r="T310" s="64">
        <f t="shared" si="9"/>
        <v>62</v>
      </c>
      <c r="U310" s="64">
        <f t="shared" si="8"/>
        <v>0</v>
      </c>
      <c r="V310" s="64">
        <f>VLOOKUP(T310,$AA$3:$AC$68,3,FALSE)</f>
        <v>0</v>
      </c>
      <c r="W310" s="64">
        <v>3</v>
      </c>
    </row>
    <row r="311" spans="19:23" ht="12" customHeight="1">
      <c r="S311" s="64">
        <v>309</v>
      </c>
      <c r="T311" s="64">
        <f t="shared" si="9"/>
        <v>62</v>
      </c>
      <c r="U311" s="64">
        <f t="shared" si="8"/>
        <v>0</v>
      </c>
      <c r="V311" s="64">
        <f>VLOOKUP(T311,$AA$3:$AC$68,3,FALSE)</f>
        <v>0</v>
      </c>
      <c r="W311" s="64">
        <v>4</v>
      </c>
    </row>
    <row r="312" spans="19:23" ht="12" customHeight="1">
      <c r="S312" s="64">
        <v>310</v>
      </c>
      <c r="T312" s="64">
        <f t="shared" si="9"/>
        <v>62</v>
      </c>
      <c r="U312" s="64">
        <f t="shared" si="8"/>
        <v>0</v>
      </c>
      <c r="V312" s="64">
        <f>VLOOKUP(T312,$AA$3:$AC$68,3,FALSE)</f>
        <v>0</v>
      </c>
      <c r="W312" s="64">
        <v>5</v>
      </c>
    </row>
    <row r="313" spans="19:23" ht="12" customHeight="1">
      <c r="S313" s="63">
        <v>311</v>
      </c>
      <c r="T313" s="63">
        <f t="shared" si="9"/>
        <v>63</v>
      </c>
      <c r="U313" s="63">
        <f t="shared" si="8"/>
        <v>0</v>
      </c>
      <c r="V313" s="63">
        <f>VLOOKUP(T313,$AA$2:$AC$68,3,FALSE)</f>
        <v>0</v>
      </c>
      <c r="W313" s="63">
        <v>1</v>
      </c>
    </row>
    <row r="314" spans="19:23" ht="12" customHeight="1">
      <c r="S314" s="63">
        <v>312</v>
      </c>
      <c r="T314" s="63">
        <f t="shared" si="9"/>
        <v>63</v>
      </c>
      <c r="U314" s="63">
        <f t="shared" si="8"/>
        <v>0</v>
      </c>
      <c r="V314" s="63">
        <f>VLOOKUP(T314,$AA$2:$AC$68,3,FALSE)</f>
        <v>0</v>
      </c>
      <c r="W314" s="63">
        <v>2</v>
      </c>
    </row>
    <row r="315" spans="19:23" ht="12" customHeight="1">
      <c r="S315" s="63">
        <v>313</v>
      </c>
      <c r="T315" s="63">
        <f t="shared" si="9"/>
        <v>63</v>
      </c>
      <c r="U315" s="63">
        <f t="shared" si="8"/>
        <v>0</v>
      </c>
      <c r="V315" s="63">
        <f>VLOOKUP(T315,$AA$2:$AC$68,3,FALSE)</f>
        <v>0</v>
      </c>
      <c r="W315" s="63">
        <v>3</v>
      </c>
    </row>
    <row r="316" spans="19:23" ht="12" customHeight="1">
      <c r="S316" s="63">
        <v>314</v>
      </c>
      <c r="T316" s="63">
        <f t="shared" si="9"/>
        <v>63</v>
      </c>
      <c r="U316" s="63">
        <f t="shared" si="8"/>
        <v>0</v>
      </c>
      <c r="V316" s="63">
        <f>VLOOKUP(T316,$AA$2:$AC$68,3,FALSE)</f>
        <v>0</v>
      </c>
      <c r="W316" s="63">
        <v>4</v>
      </c>
    </row>
    <row r="317" spans="19:23" ht="12" customHeight="1">
      <c r="S317" s="63">
        <v>315</v>
      </c>
      <c r="T317" s="63">
        <f t="shared" si="9"/>
        <v>63</v>
      </c>
      <c r="U317" s="63">
        <f t="shared" si="8"/>
        <v>0</v>
      </c>
      <c r="V317" s="63">
        <f>VLOOKUP(T317,$AA$2:$AC$68,3,FALSE)</f>
        <v>0</v>
      </c>
      <c r="W317" s="63">
        <v>5</v>
      </c>
    </row>
    <row r="318" spans="19:23" ht="12" customHeight="1">
      <c r="S318" s="64">
        <v>316</v>
      </c>
      <c r="T318" s="64">
        <f t="shared" si="9"/>
        <v>64</v>
      </c>
      <c r="U318" s="64">
        <f t="shared" si="8"/>
        <v>0</v>
      </c>
      <c r="V318" s="64">
        <f>VLOOKUP(T318,$AA$3:$AC$68,3,FALSE)</f>
        <v>0</v>
      </c>
      <c r="W318" s="64">
        <v>1</v>
      </c>
    </row>
    <row r="319" spans="19:23" ht="12" customHeight="1">
      <c r="S319" s="64">
        <v>317</v>
      </c>
      <c r="T319" s="64">
        <f t="shared" si="9"/>
        <v>64</v>
      </c>
      <c r="U319" s="64">
        <f t="shared" si="8"/>
        <v>0</v>
      </c>
      <c r="V319" s="64">
        <f>VLOOKUP(T319,$AA$3:$AC$68,3,FALSE)</f>
        <v>0</v>
      </c>
      <c r="W319" s="64">
        <v>2</v>
      </c>
    </row>
    <row r="320" spans="19:23" ht="12" customHeight="1">
      <c r="S320" s="64">
        <v>318</v>
      </c>
      <c r="T320" s="64">
        <f t="shared" si="9"/>
        <v>64</v>
      </c>
      <c r="U320" s="64">
        <f t="shared" si="8"/>
        <v>0</v>
      </c>
      <c r="V320" s="64">
        <f>VLOOKUP(T320,$AA$3:$AC$68,3,FALSE)</f>
        <v>0</v>
      </c>
      <c r="W320" s="64">
        <v>3</v>
      </c>
    </row>
    <row r="321" spans="19:23" ht="12" customHeight="1">
      <c r="S321" s="64">
        <v>319</v>
      </c>
      <c r="T321" s="64">
        <f t="shared" si="9"/>
        <v>64</v>
      </c>
      <c r="U321" s="64">
        <f t="shared" si="8"/>
        <v>0</v>
      </c>
      <c r="V321" s="64">
        <f>VLOOKUP(T321,$AA$3:$AC$68,3,FALSE)</f>
        <v>0</v>
      </c>
      <c r="W321" s="64">
        <v>4</v>
      </c>
    </row>
    <row r="322" spans="19:23" ht="12" customHeight="1">
      <c r="S322" s="64">
        <v>320</v>
      </c>
      <c r="T322" s="64">
        <f t="shared" si="9"/>
        <v>64</v>
      </c>
      <c r="U322" s="64">
        <f t="shared" si="8"/>
        <v>0</v>
      </c>
      <c r="V322" s="64">
        <f>VLOOKUP(T322,$AA$3:$AC$68,3,FALSE)</f>
        <v>0</v>
      </c>
      <c r="W322" s="64">
        <v>5</v>
      </c>
    </row>
    <row r="323" spans="19:23" ht="12" customHeight="1">
      <c r="S323" s="63">
        <v>321</v>
      </c>
      <c r="T323" s="63">
        <f t="shared" si="9"/>
        <v>65</v>
      </c>
      <c r="U323" s="63">
        <f aca="true" t="shared" si="10" ref="U323:U332">VLOOKUP(T323,$AA$3:$AC$68,2,FALSE)</f>
        <v>0</v>
      </c>
      <c r="V323" s="63">
        <f>VLOOKUP(T323,$AA$2:$AC$68,3,FALSE)</f>
        <v>0</v>
      </c>
      <c r="W323" s="63">
        <v>1</v>
      </c>
    </row>
    <row r="324" spans="19:23" ht="12" customHeight="1">
      <c r="S324" s="63">
        <v>322</v>
      </c>
      <c r="T324" s="63">
        <f t="shared" si="9"/>
        <v>65</v>
      </c>
      <c r="U324" s="63">
        <f t="shared" si="10"/>
        <v>0</v>
      </c>
      <c r="V324" s="63">
        <f>VLOOKUP(T324,$AA$2:$AC$68,3,FALSE)</f>
        <v>0</v>
      </c>
      <c r="W324" s="63">
        <v>2</v>
      </c>
    </row>
    <row r="325" spans="19:23" ht="12" customHeight="1">
      <c r="S325" s="63">
        <v>323</v>
      </c>
      <c r="T325" s="63">
        <f t="shared" si="9"/>
        <v>65</v>
      </c>
      <c r="U325" s="63">
        <f t="shared" si="10"/>
        <v>0</v>
      </c>
      <c r="V325" s="63">
        <f>VLOOKUP(T325,$AA$2:$AC$68,3,FALSE)</f>
        <v>0</v>
      </c>
      <c r="W325" s="63">
        <v>3</v>
      </c>
    </row>
    <row r="326" spans="19:23" ht="12" customHeight="1">
      <c r="S326" s="63">
        <v>324</v>
      </c>
      <c r="T326" s="63">
        <f t="shared" si="9"/>
        <v>65</v>
      </c>
      <c r="U326" s="63">
        <f t="shared" si="10"/>
        <v>0</v>
      </c>
      <c r="V326" s="63">
        <f>VLOOKUP(T326,$AA$2:$AC$68,3,FALSE)</f>
        <v>0</v>
      </c>
      <c r="W326" s="63">
        <v>4</v>
      </c>
    </row>
    <row r="327" spans="19:23" ht="12" customHeight="1">
      <c r="S327" s="63">
        <v>325</v>
      </c>
      <c r="T327" s="63">
        <f t="shared" si="9"/>
        <v>65</v>
      </c>
      <c r="U327" s="63">
        <f t="shared" si="10"/>
        <v>0</v>
      </c>
      <c r="V327" s="63">
        <f>VLOOKUP(T327,$AA$2:$AC$68,3,FALSE)</f>
        <v>0</v>
      </c>
      <c r="W327" s="63">
        <v>5</v>
      </c>
    </row>
    <row r="328" spans="19:23" ht="12" customHeight="1">
      <c r="S328" s="64">
        <v>326</v>
      </c>
      <c r="T328" s="64">
        <f>T323+1</f>
        <v>66</v>
      </c>
      <c r="U328" s="64">
        <f t="shared" si="10"/>
        <v>0</v>
      </c>
      <c r="V328" s="64">
        <f>VLOOKUP(T328,$AA$3:$AC$68,3,FALSE)</f>
        <v>0</v>
      </c>
      <c r="W328" s="64">
        <v>1</v>
      </c>
    </row>
    <row r="329" spans="19:23" ht="12" customHeight="1">
      <c r="S329" s="64">
        <v>327</v>
      </c>
      <c r="T329" s="64">
        <f>T324+1</f>
        <v>66</v>
      </c>
      <c r="U329" s="64">
        <f t="shared" si="10"/>
        <v>0</v>
      </c>
      <c r="V329" s="64">
        <f>VLOOKUP(T329,$AA$3:$AC$68,3,FALSE)</f>
        <v>0</v>
      </c>
      <c r="W329" s="64">
        <v>2</v>
      </c>
    </row>
    <row r="330" spans="19:23" ht="12" customHeight="1">
      <c r="S330" s="64">
        <v>328</v>
      </c>
      <c r="T330" s="64">
        <f>T325+1</f>
        <v>66</v>
      </c>
      <c r="U330" s="64">
        <f t="shared" si="10"/>
        <v>0</v>
      </c>
      <c r="V330" s="64">
        <f>VLOOKUP(T330,$AA$3:$AC$68,3,FALSE)</f>
        <v>0</v>
      </c>
      <c r="W330" s="64">
        <v>3</v>
      </c>
    </row>
    <row r="331" spans="19:23" ht="12" customHeight="1">
      <c r="S331" s="64">
        <v>329</v>
      </c>
      <c r="T331" s="64">
        <f>T326+1</f>
        <v>66</v>
      </c>
      <c r="U331" s="64">
        <f t="shared" si="10"/>
        <v>0</v>
      </c>
      <c r="V331" s="64">
        <f>VLOOKUP(T331,$AA$3:$AC$68,3,FALSE)</f>
        <v>0</v>
      </c>
      <c r="W331" s="64">
        <v>4</v>
      </c>
    </row>
    <row r="332" spans="19:23" ht="12" customHeight="1">
      <c r="S332" s="64">
        <v>330</v>
      </c>
      <c r="T332" s="64">
        <f>T327+1</f>
        <v>66</v>
      </c>
      <c r="U332" s="64">
        <f t="shared" si="10"/>
        <v>0</v>
      </c>
      <c r="V332" s="64">
        <f>VLOOKUP(T332,$AA$3:$AC$68,3,FALSE)</f>
        <v>0</v>
      </c>
      <c r="W332" s="64">
        <v>5</v>
      </c>
    </row>
  </sheetData>
  <sheetProtection/>
  <printOptions/>
  <pageMargins left="0.7868055555555555" right="0.7868055555555555" top="0.9833333333333333" bottom="0.9833333333333333" header="0.5111111111111111" footer="0.5111111111111111"/>
  <pageSetup fitToHeight="65535" fitToWidth="65535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61"/>
  <sheetViews>
    <sheetView zoomScaleSheetLayoutView="100" zoomScalePageLayoutView="0" workbookViewId="0" topLeftCell="A1">
      <selection activeCell="L7" sqref="L7"/>
    </sheetView>
  </sheetViews>
  <sheetFormatPr defaultColWidth="7.875" defaultRowHeight="13.5"/>
  <cols>
    <col min="1" max="1" width="8.875" style="144" customWidth="1" collapsed="1"/>
    <col min="2" max="2" width="6.625" style="145" customWidth="1" collapsed="1"/>
    <col min="3" max="3" width="3.125" style="145" customWidth="1"/>
    <col min="4" max="4" width="6.625" style="145" customWidth="1"/>
    <col min="5" max="16384" width="7.875" style="143" customWidth="1"/>
  </cols>
  <sheetData>
    <row r="1" ht="14.25" customHeight="1">
      <c r="A1" s="179" t="s">
        <v>165</v>
      </c>
    </row>
    <row r="2" ht="14.25" customHeight="1">
      <c r="A2" s="166" t="s">
        <v>166</v>
      </c>
    </row>
    <row r="4" spans="1:4" ht="24" customHeight="1">
      <c r="A4" s="142" t="s">
        <v>167</v>
      </c>
      <c r="B4" s="142"/>
      <c r="C4" s="142"/>
      <c r="D4" s="142"/>
    </row>
    <row r="5" ht="14.25" customHeight="1"/>
    <row r="6" spans="1:4" ht="16.5" customHeight="1">
      <c r="A6" s="146" t="s">
        <v>168</v>
      </c>
      <c r="B6" s="401" t="s">
        <v>169</v>
      </c>
      <c r="C6" s="402"/>
      <c r="D6" s="402"/>
    </row>
    <row r="7" spans="1:4" ht="16.5" customHeight="1">
      <c r="A7" s="256" t="s">
        <v>170</v>
      </c>
      <c r="B7" s="253" t="str">
        <f>'◆（運営）③結果入力'!F348</f>
        <v>和歌山</v>
      </c>
      <c r="C7" s="254" t="s">
        <v>171</v>
      </c>
      <c r="D7" s="255" t="str">
        <f>'◆（運営）③結果入力'!M348</f>
        <v>滋賀</v>
      </c>
    </row>
    <row r="8" spans="1:4" ht="16.5" customHeight="1">
      <c r="A8" s="257" t="s">
        <v>172</v>
      </c>
      <c r="B8" s="150" t="str">
        <f>'◆（運営）③結果入力'!F349</f>
        <v>大阪A</v>
      </c>
      <c r="C8" s="149" t="s">
        <v>171</v>
      </c>
      <c r="D8" s="157" t="str">
        <f>'◆（運営）③結果入力'!M349</f>
        <v>奈良</v>
      </c>
    </row>
    <row r="9" spans="1:4" ht="16.5" customHeight="1">
      <c r="A9" s="257" t="s">
        <v>173</v>
      </c>
      <c r="B9" s="150" t="str">
        <f>'◆（運営）③結果入力'!F350</f>
        <v>京都</v>
      </c>
      <c r="C9" s="149" t="s">
        <v>171</v>
      </c>
      <c r="D9" s="157" t="str">
        <f>'◆（運営）③結果入力'!M350</f>
        <v>三重</v>
      </c>
    </row>
    <row r="10" spans="1:4" ht="16.5" customHeight="1">
      <c r="A10" s="257" t="s">
        <v>174</v>
      </c>
      <c r="B10" s="150" t="str">
        <f>'◆（運営）③結果入力'!F351</f>
        <v>愛知</v>
      </c>
      <c r="C10" s="149" t="s">
        <v>171</v>
      </c>
      <c r="D10" s="157" t="str">
        <f>'◆（運営）③結果入力'!M351</f>
        <v>岐阜</v>
      </c>
    </row>
    <row r="11" spans="1:4" ht="16.5" customHeight="1">
      <c r="A11" s="258" t="s">
        <v>175</v>
      </c>
      <c r="B11" s="151" t="str">
        <f>'◆（運営）③結果入力'!F352</f>
        <v>兵庫</v>
      </c>
      <c r="C11" s="152" t="s">
        <v>171</v>
      </c>
      <c r="D11" s="158" t="str">
        <f>'◆（運営）③結果入力'!M352</f>
        <v>大阪B</v>
      </c>
    </row>
    <row r="12" spans="1:4" ht="16.5" customHeight="1">
      <c r="A12" s="259" t="s">
        <v>176</v>
      </c>
      <c r="B12" s="153" t="str">
        <f>'◆（運営）③結果入力'!F353</f>
        <v>大阪A</v>
      </c>
      <c r="C12" s="154" t="s">
        <v>171</v>
      </c>
      <c r="D12" s="156" t="str">
        <f>'◆（運営）③結果入力'!M353</f>
        <v>和歌山</v>
      </c>
    </row>
    <row r="13" spans="1:4" ht="16.5" customHeight="1">
      <c r="A13" s="257" t="s">
        <v>177</v>
      </c>
      <c r="B13" s="150" t="str">
        <f>'◆（運営）③結果入力'!F354</f>
        <v>京都</v>
      </c>
      <c r="C13" s="149" t="s">
        <v>171</v>
      </c>
      <c r="D13" s="157" t="str">
        <f>'◆（運営）③結果入力'!M354</f>
        <v>滋賀</v>
      </c>
    </row>
    <row r="14" spans="1:4" ht="16.5" customHeight="1">
      <c r="A14" s="257" t="s">
        <v>178</v>
      </c>
      <c r="B14" s="150" t="str">
        <f>'◆（運営）③結果入力'!F355</f>
        <v>愛知</v>
      </c>
      <c r="C14" s="149" t="s">
        <v>171</v>
      </c>
      <c r="D14" s="157" t="str">
        <f>'◆（運営）③結果入力'!M355</f>
        <v>奈良</v>
      </c>
    </row>
    <row r="15" spans="1:4" ht="16.5" customHeight="1">
      <c r="A15" s="257" t="s">
        <v>179</v>
      </c>
      <c r="B15" s="150" t="str">
        <f>'◆（運営）③結果入力'!F356</f>
        <v>大阪B</v>
      </c>
      <c r="C15" s="149" t="s">
        <v>171</v>
      </c>
      <c r="D15" s="157" t="str">
        <f>'◆（運営）③結果入力'!M356</f>
        <v>三重</v>
      </c>
    </row>
    <row r="16" spans="1:4" ht="16.5" customHeight="1">
      <c r="A16" s="258" t="s">
        <v>180</v>
      </c>
      <c r="B16" s="151" t="str">
        <f>'◆（運営）③結果入力'!F357</f>
        <v>兵庫</v>
      </c>
      <c r="C16" s="152" t="s">
        <v>171</v>
      </c>
      <c r="D16" s="158" t="str">
        <f>'◆（運営）③結果入力'!M357</f>
        <v>岐阜</v>
      </c>
    </row>
    <row r="17" spans="1:4" ht="16.5" customHeight="1">
      <c r="A17" s="259" t="s">
        <v>181</v>
      </c>
      <c r="B17" s="153" t="str">
        <f>'◆（運営）③結果入力'!F358</f>
        <v>京都</v>
      </c>
      <c r="C17" s="154" t="s">
        <v>171</v>
      </c>
      <c r="D17" s="156" t="str">
        <f>'◆（運営）③結果入力'!M358</f>
        <v>大阪A</v>
      </c>
    </row>
    <row r="18" spans="1:4" ht="16.5" customHeight="1">
      <c r="A18" s="257" t="s">
        <v>182</v>
      </c>
      <c r="B18" s="150" t="str">
        <f>'◆（運営）③結果入力'!F359</f>
        <v>愛知</v>
      </c>
      <c r="C18" s="149" t="s">
        <v>171</v>
      </c>
      <c r="D18" s="157" t="str">
        <f>'◆（運営）③結果入力'!M359</f>
        <v>和歌山</v>
      </c>
    </row>
    <row r="19" spans="1:4" ht="16.5" customHeight="1">
      <c r="A19" s="257" t="s">
        <v>183</v>
      </c>
      <c r="B19" s="150" t="str">
        <f>'◆（運営）③結果入力'!F360</f>
        <v>大阪B</v>
      </c>
      <c r="C19" s="149" t="s">
        <v>171</v>
      </c>
      <c r="D19" s="157" t="str">
        <f>'◆（運営）③結果入力'!M360</f>
        <v>滋賀</v>
      </c>
    </row>
    <row r="20" spans="1:4" ht="16.5" customHeight="1">
      <c r="A20" s="257" t="s">
        <v>184</v>
      </c>
      <c r="B20" s="150" t="str">
        <f>'◆（運営）③結果入力'!F361</f>
        <v>岐阜</v>
      </c>
      <c r="C20" s="149" t="s">
        <v>171</v>
      </c>
      <c r="D20" s="157" t="str">
        <f>'◆（運営）③結果入力'!M361</f>
        <v>奈良</v>
      </c>
    </row>
    <row r="21" spans="1:4" ht="16.5" customHeight="1">
      <c r="A21" s="258" t="s">
        <v>185</v>
      </c>
      <c r="B21" s="151" t="str">
        <f>'◆（運営）③結果入力'!F362</f>
        <v>兵庫</v>
      </c>
      <c r="C21" s="152" t="s">
        <v>171</v>
      </c>
      <c r="D21" s="158" t="str">
        <f>'◆（運営）③結果入力'!M362</f>
        <v>三重</v>
      </c>
    </row>
    <row r="22" spans="1:4" ht="16.5" customHeight="1">
      <c r="A22" s="259" t="s">
        <v>186</v>
      </c>
      <c r="B22" s="153" t="str">
        <f>'◆（運営）③結果入力'!F363</f>
        <v>愛知</v>
      </c>
      <c r="C22" s="154" t="s">
        <v>171</v>
      </c>
      <c r="D22" s="156" t="str">
        <f>'◆（運営）③結果入力'!M363</f>
        <v>京都</v>
      </c>
    </row>
    <row r="23" spans="1:4" ht="16.5" customHeight="1">
      <c r="A23" s="257" t="s">
        <v>187</v>
      </c>
      <c r="B23" s="150" t="str">
        <f>'◆（運営）③結果入力'!F364</f>
        <v>大阪B</v>
      </c>
      <c r="C23" s="149" t="s">
        <v>171</v>
      </c>
      <c r="D23" s="157" t="str">
        <f>'◆（運営）③結果入力'!M364</f>
        <v>大阪A</v>
      </c>
    </row>
    <row r="24" spans="1:4" ht="16.5" customHeight="1">
      <c r="A24" s="257" t="s">
        <v>188</v>
      </c>
      <c r="B24" s="150" t="str">
        <f>'◆（運営）③結果入力'!F365</f>
        <v>岐阜</v>
      </c>
      <c r="C24" s="149" t="s">
        <v>171</v>
      </c>
      <c r="D24" s="157" t="str">
        <f>'◆（運営）③結果入力'!M365</f>
        <v>和歌山</v>
      </c>
    </row>
    <row r="25" spans="1:4" ht="16.5" customHeight="1">
      <c r="A25" s="257" t="s">
        <v>189</v>
      </c>
      <c r="B25" s="150" t="str">
        <f>'◆（運営）③結果入力'!F366</f>
        <v>三重</v>
      </c>
      <c r="C25" s="149" t="s">
        <v>171</v>
      </c>
      <c r="D25" s="157" t="str">
        <f>'◆（運営）③結果入力'!M366</f>
        <v>滋賀</v>
      </c>
    </row>
    <row r="26" spans="1:4" ht="16.5" customHeight="1">
      <c r="A26" s="258" t="s">
        <v>190</v>
      </c>
      <c r="B26" s="151" t="str">
        <f>'◆（運営）③結果入力'!F367</f>
        <v>兵庫</v>
      </c>
      <c r="C26" s="152" t="s">
        <v>171</v>
      </c>
      <c r="D26" s="158" t="str">
        <f>'◆（運営）③結果入力'!M367</f>
        <v>奈良</v>
      </c>
    </row>
    <row r="27" spans="1:4" ht="16.5" customHeight="1">
      <c r="A27" s="259" t="s">
        <v>191</v>
      </c>
      <c r="B27" s="153" t="str">
        <f>'◆（運営）③結果入力'!F368</f>
        <v>大阪B</v>
      </c>
      <c r="C27" s="154" t="s">
        <v>171</v>
      </c>
      <c r="D27" s="156" t="str">
        <f>'◆（運営）③結果入力'!M368</f>
        <v>愛知</v>
      </c>
    </row>
    <row r="28" spans="1:4" ht="16.5" customHeight="1">
      <c r="A28" s="257" t="s">
        <v>192</v>
      </c>
      <c r="B28" s="150" t="str">
        <f>'◆（運営）③結果入力'!F369</f>
        <v>岐阜</v>
      </c>
      <c r="C28" s="149" t="s">
        <v>171</v>
      </c>
      <c r="D28" s="157" t="str">
        <f>'◆（運営）③結果入力'!M369</f>
        <v>京都</v>
      </c>
    </row>
    <row r="29" spans="1:4" ht="16.5" customHeight="1">
      <c r="A29" s="257" t="s">
        <v>193</v>
      </c>
      <c r="B29" s="150" t="str">
        <f>'◆（運営）③結果入力'!F370</f>
        <v>三重</v>
      </c>
      <c r="C29" s="149" t="s">
        <v>171</v>
      </c>
      <c r="D29" s="157" t="str">
        <f>'◆（運営）③結果入力'!M370</f>
        <v>大阪A</v>
      </c>
    </row>
    <row r="30" spans="1:4" ht="16.5" customHeight="1">
      <c r="A30" s="257" t="s">
        <v>194</v>
      </c>
      <c r="B30" s="150" t="str">
        <f>'◆（運営）③結果入力'!F371</f>
        <v>奈良</v>
      </c>
      <c r="C30" s="149" t="s">
        <v>171</v>
      </c>
      <c r="D30" s="157" t="str">
        <f>'◆（運営）③結果入力'!M371</f>
        <v>和歌山</v>
      </c>
    </row>
    <row r="31" spans="1:4" ht="16.5" customHeight="1">
      <c r="A31" s="258" t="s">
        <v>195</v>
      </c>
      <c r="B31" s="151" t="str">
        <f>'◆（運営）③結果入力'!F372</f>
        <v>兵庫</v>
      </c>
      <c r="C31" s="152" t="s">
        <v>171</v>
      </c>
      <c r="D31" s="158" t="str">
        <f>'◆（運営）③結果入力'!M372</f>
        <v>滋賀</v>
      </c>
    </row>
    <row r="32" spans="1:4" ht="16.5" customHeight="1">
      <c r="A32" s="259" t="s">
        <v>196</v>
      </c>
      <c r="B32" s="153" t="str">
        <f>'◆（運営）③結果入力'!F373</f>
        <v>岐阜</v>
      </c>
      <c r="C32" s="154" t="s">
        <v>171</v>
      </c>
      <c r="D32" s="156" t="str">
        <f>'◆（運営）③結果入力'!M373</f>
        <v>大阪B</v>
      </c>
    </row>
    <row r="33" spans="1:4" ht="16.5" customHeight="1">
      <c r="A33" s="257" t="s">
        <v>197</v>
      </c>
      <c r="B33" s="150" t="str">
        <f>'◆（運営）③結果入力'!F374</f>
        <v>三重</v>
      </c>
      <c r="C33" s="149" t="s">
        <v>171</v>
      </c>
      <c r="D33" s="157" t="str">
        <f>'◆（運営）③結果入力'!M374</f>
        <v>愛知</v>
      </c>
    </row>
    <row r="34" spans="1:4" ht="16.5" customHeight="1">
      <c r="A34" s="257" t="s">
        <v>198</v>
      </c>
      <c r="B34" s="150" t="str">
        <f>'◆（運営）③結果入力'!F375</f>
        <v>奈良</v>
      </c>
      <c r="C34" s="149" t="s">
        <v>171</v>
      </c>
      <c r="D34" s="157" t="str">
        <f>'◆（運営）③結果入力'!M375</f>
        <v>京都</v>
      </c>
    </row>
    <row r="35" spans="1:4" ht="16.5" customHeight="1">
      <c r="A35" s="257" t="s">
        <v>199</v>
      </c>
      <c r="B35" s="150" t="str">
        <f>'◆（運営）③結果入力'!F376</f>
        <v>滋賀</v>
      </c>
      <c r="C35" s="149" t="s">
        <v>171</v>
      </c>
      <c r="D35" s="157" t="str">
        <f>'◆（運営）③結果入力'!M376</f>
        <v>大阪A</v>
      </c>
    </row>
    <row r="36" spans="1:4" ht="16.5" customHeight="1">
      <c r="A36" s="258" t="s">
        <v>200</v>
      </c>
      <c r="B36" s="151" t="str">
        <f>'◆（運営）③結果入力'!F377</f>
        <v>兵庫</v>
      </c>
      <c r="C36" s="152" t="s">
        <v>171</v>
      </c>
      <c r="D36" s="158" t="str">
        <f>'◆（運営）③結果入力'!M377</f>
        <v>和歌山</v>
      </c>
    </row>
    <row r="37" spans="1:4" ht="16.5" customHeight="1">
      <c r="A37" s="259" t="s">
        <v>201</v>
      </c>
      <c r="B37" s="153" t="str">
        <f>'◆（運営）③結果入力'!F378</f>
        <v>三重</v>
      </c>
      <c r="C37" s="154" t="s">
        <v>171</v>
      </c>
      <c r="D37" s="156" t="str">
        <f>'◆（運営）③結果入力'!M378</f>
        <v>岐阜</v>
      </c>
    </row>
    <row r="38" spans="1:4" ht="16.5" customHeight="1">
      <c r="A38" s="257" t="s">
        <v>202</v>
      </c>
      <c r="B38" s="150" t="str">
        <f>'◆（運営）③結果入力'!F379</f>
        <v>奈良</v>
      </c>
      <c r="C38" s="149" t="s">
        <v>171</v>
      </c>
      <c r="D38" s="157" t="str">
        <f>'◆（運営）③結果入力'!M379</f>
        <v>大阪B</v>
      </c>
    </row>
    <row r="39" spans="1:4" ht="16.5" customHeight="1">
      <c r="A39" s="257" t="s">
        <v>203</v>
      </c>
      <c r="B39" s="150" t="str">
        <f>'◆（運営）③結果入力'!F380</f>
        <v>滋賀</v>
      </c>
      <c r="C39" s="149" t="s">
        <v>171</v>
      </c>
      <c r="D39" s="157" t="str">
        <f>'◆（運営）③結果入力'!M380</f>
        <v>愛知</v>
      </c>
    </row>
    <row r="40" spans="1:4" ht="16.5" customHeight="1">
      <c r="A40" s="257" t="s">
        <v>204</v>
      </c>
      <c r="B40" s="150" t="str">
        <f>'◆（運営）③結果入力'!F381</f>
        <v>和歌山</v>
      </c>
      <c r="C40" s="149" t="s">
        <v>171</v>
      </c>
      <c r="D40" s="157" t="str">
        <f>'◆（運営）③結果入力'!M381</f>
        <v>京都</v>
      </c>
    </row>
    <row r="41" spans="1:4" ht="16.5" customHeight="1">
      <c r="A41" s="258" t="s">
        <v>205</v>
      </c>
      <c r="B41" s="151" t="str">
        <f>'◆（運営）③結果入力'!F382</f>
        <v>兵庫</v>
      </c>
      <c r="C41" s="152" t="s">
        <v>171</v>
      </c>
      <c r="D41" s="158" t="str">
        <f>'◆（運営）③結果入力'!M382</f>
        <v>大阪A</v>
      </c>
    </row>
    <row r="42" spans="1:4" ht="16.5" customHeight="1">
      <c r="A42" s="259" t="s">
        <v>206</v>
      </c>
      <c r="B42" s="153" t="str">
        <f>'◆（運営）③結果入力'!F383</f>
        <v>奈良</v>
      </c>
      <c r="C42" s="154" t="s">
        <v>171</v>
      </c>
      <c r="D42" s="156" t="str">
        <f>'◆（運営）③結果入力'!M383</f>
        <v>三重</v>
      </c>
    </row>
    <row r="43" spans="1:4" ht="16.5" customHeight="1">
      <c r="A43" s="257" t="s">
        <v>207</v>
      </c>
      <c r="B43" s="150" t="str">
        <f>'◆（運営）③結果入力'!F384</f>
        <v>滋賀</v>
      </c>
      <c r="C43" s="149" t="s">
        <v>171</v>
      </c>
      <c r="D43" s="157" t="str">
        <f>'◆（運営）③結果入力'!M384</f>
        <v>岐阜</v>
      </c>
    </row>
    <row r="44" spans="1:4" ht="16.5" customHeight="1">
      <c r="A44" s="257" t="s">
        <v>208</v>
      </c>
      <c r="B44" s="150" t="str">
        <f>'◆（運営）③結果入力'!F385</f>
        <v>和歌山</v>
      </c>
      <c r="C44" s="149" t="s">
        <v>171</v>
      </c>
      <c r="D44" s="157" t="str">
        <f>'◆（運営）③結果入力'!M385</f>
        <v>大阪B</v>
      </c>
    </row>
    <row r="45" spans="1:4" ht="16.5" customHeight="1">
      <c r="A45" s="257" t="s">
        <v>209</v>
      </c>
      <c r="B45" s="150" t="str">
        <f>'◆（運営）③結果入力'!F386</f>
        <v>大阪A</v>
      </c>
      <c r="C45" s="149" t="s">
        <v>171</v>
      </c>
      <c r="D45" s="157" t="str">
        <f>'◆（運営）③結果入力'!M386</f>
        <v>愛知</v>
      </c>
    </row>
    <row r="46" spans="1:4" ht="16.5" customHeight="1">
      <c r="A46" s="258" t="s">
        <v>210</v>
      </c>
      <c r="B46" s="151" t="str">
        <f>'◆（運営）③結果入力'!F387</f>
        <v>兵庫</v>
      </c>
      <c r="C46" s="152" t="s">
        <v>171</v>
      </c>
      <c r="D46" s="158" t="str">
        <f>'◆（運営）③結果入力'!M387</f>
        <v>京都</v>
      </c>
    </row>
    <row r="47" spans="1:4" ht="16.5" customHeight="1">
      <c r="A47" s="259" t="s">
        <v>211</v>
      </c>
      <c r="B47" s="153" t="str">
        <f>'◆（運営）③結果入力'!F388</f>
        <v>滋賀</v>
      </c>
      <c r="C47" s="154" t="s">
        <v>171</v>
      </c>
      <c r="D47" s="156" t="str">
        <f>'◆（運営）③結果入力'!M388</f>
        <v>奈良</v>
      </c>
    </row>
    <row r="48" spans="1:4" ht="16.5" customHeight="1">
      <c r="A48" s="257" t="s">
        <v>212</v>
      </c>
      <c r="B48" s="150" t="str">
        <f>'◆（運営）③結果入力'!F389</f>
        <v>和歌山</v>
      </c>
      <c r="C48" s="149" t="s">
        <v>171</v>
      </c>
      <c r="D48" s="157" t="str">
        <f>'◆（運営）③結果入力'!M389</f>
        <v>三重</v>
      </c>
    </row>
    <row r="49" spans="1:4" ht="16.5" customHeight="1">
      <c r="A49" s="257" t="s">
        <v>213</v>
      </c>
      <c r="B49" s="150" t="str">
        <f>'◆（運営）③結果入力'!F390</f>
        <v>大阪A</v>
      </c>
      <c r="C49" s="149" t="s">
        <v>171</v>
      </c>
      <c r="D49" s="157" t="str">
        <f>'◆（運営）③結果入力'!M390</f>
        <v>岐阜</v>
      </c>
    </row>
    <row r="50" spans="1:4" ht="16.5" customHeight="1">
      <c r="A50" s="257" t="s">
        <v>214</v>
      </c>
      <c r="B50" s="150" t="str">
        <f>'◆（運営）③結果入力'!F391</f>
        <v>京都</v>
      </c>
      <c r="C50" s="149" t="s">
        <v>171</v>
      </c>
      <c r="D50" s="157" t="str">
        <f>'◆（運営）③結果入力'!M391</f>
        <v>大阪B</v>
      </c>
    </row>
    <row r="51" spans="1:4" ht="16.5" customHeight="1">
      <c r="A51" s="258" t="s">
        <v>215</v>
      </c>
      <c r="B51" s="151" t="str">
        <f>'◆（運営）③結果入力'!F392</f>
        <v>兵庫</v>
      </c>
      <c r="C51" s="152" t="s">
        <v>171</v>
      </c>
      <c r="D51" s="158" t="str">
        <f>'◆（運営）③結果入力'!M392</f>
        <v>愛知</v>
      </c>
    </row>
    <row r="52" spans="1:4" ht="13.5" customHeight="1" hidden="1">
      <c r="A52" s="147" t="s">
        <v>216</v>
      </c>
      <c r="B52" s="148" t="e">
        <f>'◆（運営）③結果入力'!F393</f>
        <v>#N/A</v>
      </c>
      <c r="C52" s="148" t="s">
        <v>171</v>
      </c>
      <c r="D52" s="148" t="e">
        <f>'◆（運営）③結果入力'!M393</f>
        <v>#N/A</v>
      </c>
    </row>
    <row r="53" spans="1:4" ht="13.5" customHeight="1" hidden="1">
      <c r="A53" s="147" t="s">
        <v>217</v>
      </c>
      <c r="B53" s="149" t="e">
        <f>'◆（運営）③結果入力'!F394</f>
        <v>#N/A</v>
      </c>
      <c r="C53" s="149" t="s">
        <v>171</v>
      </c>
      <c r="D53" s="149" t="e">
        <f>'◆（運営）③結果入力'!M394</f>
        <v>#N/A</v>
      </c>
    </row>
    <row r="54" spans="1:4" ht="13.5" customHeight="1" hidden="1">
      <c r="A54" s="147" t="s">
        <v>218</v>
      </c>
      <c r="B54" s="149" t="e">
        <f>'◆（運営）③結果入力'!F395</f>
        <v>#N/A</v>
      </c>
      <c r="C54" s="149" t="s">
        <v>171</v>
      </c>
      <c r="D54" s="149" t="e">
        <f>'◆（運営）③結果入力'!M395</f>
        <v>#N/A</v>
      </c>
    </row>
    <row r="55" spans="1:4" ht="13.5" customHeight="1" hidden="1">
      <c r="A55" s="147" t="s">
        <v>219</v>
      </c>
      <c r="B55" s="149" t="e">
        <f>'◆（運営）③結果入力'!F396</f>
        <v>#N/A</v>
      </c>
      <c r="C55" s="149" t="s">
        <v>171</v>
      </c>
      <c r="D55" s="149" t="e">
        <f>'◆（運営）③結果入力'!M396</f>
        <v>#N/A</v>
      </c>
    </row>
    <row r="56" spans="1:4" ht="13.5" customHeight="1" hidden="1">
      <c r="A56" s="147" t="s">
        <v>220</v>
      </c>
      <c r="B56" s="149" t="e">
        <f>'◆（運営）③結果入力'!F397</f>
        <v>#N/A</v>
      </c>
      <c r="C56" s="149" t="s">
        <v>171</v>
      </c>
      <c r="D56" s="149" t="e">
        <f>'◆（運営）③結果入力'!M397</f>
        <v>#N/A</v>
      </c>
    </row>
    <row r="57" spans="1:4" ht="13.5" customHeight="1" hidden="1">
      <c r="A57" s="147" t="s">
        <v>221</v>
      </c>
      <c r="B57" s="149" t="e">
        <f>'◆（運営）③結果入力'!F398</f>
        <v>#N/A</v>
      </c>
      <c r="C57" s="149" t="s">
        <v>171</v>
      </c>
      <c r="D57" s="149" t="e">
        <f>'◆（運営）③結果入力'!M398</f>
        <v>#N/A</v>
      </c>
    </row>
    <row r="58" spans="1:4" ht="13.5" customHeight="1" hidden="1">
      <c r="A58" s="147" t="s">
        <v>222</v>
      </c>
      <c r="B58" s="149" t="e">
        <f>'◆（運営）③結果入力'!F399</f>
        <v>#N/A</v>
      </c>
      <c r="C58" s="149" t="s">
        <v>171</v>
      </c>
      <c r="D58" s="149" t="e">
        <f>'◆（運営）③結果入力'!M399</f>
        <v>#N/A</v>
      </c>
    </row>
    <row r="59" spans="1:4" ht="13.5" customHeight="1" hidden="1">
      <c r="A59" s="147" t="s">
        <v>223</v>
      </c>
      <c r="B59" s="149" t="e">
        <f>'◆（運営）③結果入力'!F400</f>
        <v>#N/A</v>
      </c>
      <c r="C59" s="149" t="s">
        <v>171</v>
      </c>
      <c r="D59" s="149" t="e">
        <f>'◆（運営）③結果入力'!M400</f>
        <v>#N/A</v>
      </c>
    </row>
    <row r="60" spans="1:4" ht="13.5" customHeight="1" hidden="1">
      <c r="A60" s="147" t="s">
        <v>224</v>
      </c>
      <c r="B60" s="149" t="e">
        <f>'◆（運営）③結果入力'!F401</f>
        <v>#N/A</v>
      </c>
      <c r="C60" s="149" t="s">
        <v>171</v>
      </c>
      <c r="D60" s="149" t="e">
        <f>'◆（運営）③結果入力'!M401</f>
        <v>#N/A</v>
      </c>
    </row>
    <row r="61" spans="1:4" ht="14.25" customHeight="1" hidden="1">
      <c r="A61" s="155" t="s">
        <v>225</v>
      </c>
      <c r="B61" s="152" t="e">
        <f>'◆（運営）③結果入力'!F402</f>
        <v>#N/A</v>
      </c>
      <c r="C61" s="152" t="s">
        <v>171</v>
      </c>
      <c r="D61" s="152" t="e">
        <f>'◆（運営）③結果入力'!M402</f>
        <v>#N/A</v>
      </c>
    </row>
  </sheetData>
  <sheetProtection/>
  <mergeCells count="1">
    <mergeCell ref="B6:D6"/>
  </mergeCells>
  <printOptions horizontalCentered="1" verticalCentered="1"/>
  <pageMargins left="0.39305555555555555" right="0.39305555555555555" top="0.5902777777777778" bottom="0.5902777777777778" header="0.5111111111111111" footer="0.5111111111111111"/>
  <pageSetup fitToHeight="65535" fitToWidth="65535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S83"/>
  <sheetViews>
    <sheetView tabSelected="1" view="pageBreakPreview" zoomScaleSheetLayoutView="100" zoomScalePageLayoutView="0" workbookViewId="0" topLeftCell="A1">
      <selection activeCell="R75" sqref="R75"/>
    </sheetView>
  </sheetViews>
  <sheetFormatPr defaultColWidth="6.625" defaultRowHeight="13.5"/>
  <cols>
    <col min="1" max="1" width="3.125" style="274" customWidth="1" collapsed="1"/>
    <col min="2" max="2" width="6.375" style="30" customWidth="1" collapsed="1"/>
    <col min="3" max="4" width="3.50390625" style="30" customWidth="1"/>
    <col min="5" max="5" width="3.50390625" style="274" customWidth="1"/>
    <col min="6" max="15" width="3.50390625" style="30" customWidth="1"/>
    <col min="16" max="17" width="4.00390625" style="30" customWidth="1"/>
    <col min="18" max="19" width="4.375" style="274" customWidth="1"/>
    <col min="20" max="20" width="2.875" style="30" customWidth="1"/>
    <col min="21" max="22" width="3.375" style="274" hidden="1" customWidth="1"/>
    <col min="23" max="23" width="11.875" style="276" hidden="1" customWidth="1"/>
    <col min="24" max="24" width="6.625" style="276" hidden="1" customWidth="1"/>
    <col min="25" max="25" width="7.875" style="276" hidden="1" customWidth="1"/>
    <col min="26" max="26" width="10.875" style="276" hidden="1" customWidth="1"/>
    <col min="27" max="32" width="3.875" style="218" customWidth="1"/>
    <col min="33" max="34" width="3.875" style="277" customWidth="1"/>
    <col min="35" max="36" width="3.875" style="218" customWidth="1"/>
    <col min="37" max="38" width="3.875" style="218" hidden="1" customWidth="1"/>
    <col min="39" max="39" width="4.375" style="218" customWidth="1"/>
    <col min="40" max="40" width="4.375" style="274" customWidth="1"/>
    <col min="41" max="43" width="3.50390625" style="274" hidden="1" customWidth="1"/>
    <col min="44" max="44" width="13.875" style="274" hidden="1" customWidth="1"/>
    <col min="45" max="45" width="6.625" style="274" hidden="1" customWidth="1"/>
    <col min="46" max="16384" width="6.625" style="274" customWidth="1"/>
  </cols>
  <sheetData>
    <row r="1" ht="12" customHeight="1">
      <c r="B1" s="275" t="s">
        <v>226</v>
      </c>
    </row>
    <row r="2" spans="1:39" ht="17.25" customHeight="1">
      <c r="A2" s="412" t="str">
        <f>'①（準備）選手登録'!B12</f>
        <v>第9回 関西･東海 対抗戦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2"/>
    </row>
    <row r="3" spans="2:38" ht="14.25" customHeight="1">
      <c r="B3" s="275"/>
      <c r="AA3" s="413">
        <f>'①（準備）選手登録'!O13</f>
        <v>42484</v>
      </c>
      <c r="AB3" s="413"/>
      <c r="AC3" s="413"/>
      <c r="AD3" s="413"/>
      <c r="AE3" s="413"/>
      <c r="AG3" s="279" t="s">
        <v>227</v>
      </c>
      <c r="AH3" s="278" t="s">
        <v>392</v>
      </c>
      <c r="AK3" s="278"/>
      <c r="AL3" s="278"/>
    </row>
    <row r="4" ht="12" customHeight="1" hidden="1">
      <c r="B4" s="275"/>
    </row>
    <row r="5" spans="3:15" ht="12.75" customHeight="1">
      <c r="C5" s="136">
        <v>1</v>
      </c>
      <c r="D5" s="274" t="s">
        <v>228</v>
      </c>
      <c r="F5" s="30">
        <v>1</v>
      </c>
      <c r="G5" s="30">
        <v>2</v>
      </c>
      <c r="H5" s="30">
        <v>3</v>
      </c>
      <c r="I5" s="30">
        <v>4</v>
      </c>
      <c r="J5" s="30">
        <v>5</v>
      </c>
      <c r="K5" s="30">
        <v>6</v>
      </c>
      <c r="L5" s="30">
        <v>7</v>
      </c>
      <c r="M5" s="30">
        <v>8</v>
      </c>
      <c r="N5" s="30">
        <v>9</v>
      </c>
      <c r="O5" s="30">
        <v>10</v>
      </c>
    </row>
    <row r="6" spans="2:45" ht="50.25" customHeight="1">
      <c r="B6" s="280" t="s">
        <v>229</v>
      </c>
      <c r="C6" s="281" t="s">
        <v>74</v>
      </c>
      <c r="D6" s="282"/>
      <c r="E6" s="283"/>
      <c r="F6" s="284" t="str">
        <f>B7</f>
        <v>兵庫</v>
      </c>
      <c r="G6" s="285" t="str">
        <f>B8</f>
        <v>愛知</v>
      </c>
      <c r="H6" s="285" t="str">
        <f>B9</f>
        <v>京都</v>
      </c>
      <c r="I6" s="285" t="str">
        <f>B10</f>
        <v>大阪A</v>
      </c>
      <c r="J6" s="285" t="str">
        <f>B11</f>
        <v>和歌山</v>
      </c>
      <c r="K6" s="285" t="str">
        <f>B12</f>
        <v>滋賀</v>
      </c>
      <c r="L6" s="285" t="str">
        <f>B13</f>
        <v>奈良</v>
      </c>
      <c r="M6" s="285" t="str">
        <f>B14</f>
        <v>三重</v>
      </c>
      <c r="N6" s="285" t="str">
        <f>B15</f>
        <v>岐阜</v>
      </c>
      <c r="O6" s="285" t="str">
        <f>B16</f>
        <v>大阪B</v>
      </c>
      <c r="P6" s="286" t="s">
        <v>230</v>
      </c>
      <c r="Q6" s="287" t="s">
        <v>231</v>
      </c>
      <c r="R6" s="287" t="s">
        <v>232</v>
      </c>
      <c r="S6" s="287" t="s">
        <v>233</v>
      </c>
      <c r="T6" s="328" t="s">
        <v>234</v>
      </c>
      <c r="U6" s="329" t="s">
        <v>235</v>
      </c>
      <c r="V6" s="329" t="s">
        <v>236</v>
      </c>
      <c r="W6" s="330" t="s">
        <v>237</v>
      </c>
      <c r="X6" s="331"/>
      <c r="Y6" s="331"/>
      <c r="Z6" s="331"/>
      <c r="AA6" s="405" t="s">
        <v>45</v>
      </c>
      <c r="AB6" s="406"/>
      <c r="AC6" s="406"/>
      <c r="AD6" s="406"/>
      <c r="AE6" s="406"/>
      <c r="AF6" s="406"/>
      <c r="AG6" s="406"/>
      <c r="AH6" s="406"/>
      <c r="AI6" s="406"/>
      <c r="AJ6" s="406"/>
      <c r="AK6" s="406"/>
      <c r="AL6" s="407"/>
      <c r="AM6" s="332" t="s">
        <v>238</v>
      </c>
      <c r="AO6" s="333" t="s">
        <v>239</v>
      </c>
      <c r="AP6" s="333" t="s">
        <v>240</v>
      </c>
      <c r="AQ6" s="333" t="s">
        <v>241</v>
      </c>
      <c r="AR6" s="334" t="s">
        <v>242</v>
      </c>
      <c r="AS6" s="335" t="s">
        <v>243</v>
      </c>
    </row>
    <row r="7" spans="1:45" ht="12.75" customHeight="1">
      <c r="A7" s="274">
        <v>1</v>
      </c>
      <c r="B7" s="292" t="str">
        <f>'ブロック表'!C4</f>
        <v>兵庫</v>
      </c>
      <c r="C7" s="293" t="str">
        <f>IF(B7="","",VLOOKUP(B7,'ブロック表'!$C$4:$N$15,3,FALSE))</f>
        <v>高木 俊行</v>
      </c>
      <c r="D7" s="294"/>
      <c r="E7" s="295"/>
      <c r="F7" s="382"/>
      <c r="G7" s="297">
        <f>IF(ISERROR(VLOOKUP(G$6&amp;$C7,'◆（運営）③結果入力'!$D$16:$I$345,6,FALSE)),IF(VLOOKUP(G$6&amp;$C7,'◆（運営）③結果入力'!$E$16:$J$345,6,FALSE)="","",VLOOKUP(G$6&amp;$C7,'◆（運営）③結果入力'!$E$16:$J$345,6,FALSE)),IF(VLOOKUP(G$6&amp;$C7,'◆（運営）③結果入力'!$D$16:$I$345,6,FALSE)="","",VLOOKUP(G$6&amp;$C7,'◆（運営）③結果入力'!$D$16:$I$345,6,FALSE)))</f>
        <v>77</v>
      </c>
      <c r="H7" s="297" t="str">
        <f>IF(ISERROR(VLOOKUP(H$6&amp;$C7,'◆（運営）③結果入力'!$D$16:$I$345,6,FALSE)),IF(VLOOKUP(H$6&amp;$C7,'◆（運営）③結果入力'!$E$16:$J$345,6,FALSE)="","",VLOOKUP(H$6&amp;$C7,'◆（運営）③結果入力'!$E$16:$J$345,6,FALSE)),IF(VLOOKUP(H$6&amp;$C7,'◆（運営）③結果入力'!$D$16:$I$345,6,FALSE)="","",VLOOKUP(H$6&amp;$C7,'◆（運営）③結果入力'!$D$16:$I$345,6,FALSE)))</f>
        <v>W</v>
      </c>
      <c r="I7" s="297" t="str">
        <f>IF(ISERROR(VLOOKUP(I$6&amp;$C7,'◆（運営）③結果入力'!$D$16:$I$345,6,FALSE)),IF(VLOOKUP(I$6&amp;$C7,'◆（運営）③結果入力'!$E$16:$J$345,6,FALSE)="","",VLOOKUP(I$6&amp;$C7,'◆（運営）③結果入力'!$E$16:$J$345,6,FALSE)),IF(VLOOKUP(I$6&amp;$C7,'◆（運営）③結果入力'!$D$16:$I$345,6,FALSE)="","",VLOOKUP(I$6&amp;$C7,'◆（運営）③結果入力'!$D$16:$I$345,6,FALSE)))</f>
        <v>W</v>
      </c>
      <c r="J7" s="297" t="str">
        <f>IF(ISERROR(VLOOKUP(J$6&amp;$C7,'◆（運営）③結果入力'!$D$16:$I$345,6,FALSE)),IF(VLOOKUP(J$6&amp;$C7,'◆（運営）③結果入力'!$E$16:$J$345,6,FALSE)="","",VLOOKUP(J$6&amp;$C7,'◆（運営）③結果入力'!$E$16:$J$345,6,FALSE)),IF(VLOOKUP(J$6&amp;$C7,'◆（運営）③結果入力'!$D$16:$I$345,6,FALSE)="","",VLOOKUP(J$6&amp;$C7,'◆（運営）③結果入力'!$D$16:$I$345,6,FALSE)))</f>
        <v>W</v>
      </c>
      <c r="K7" s="297" t="str">
        <f>IF(ISERROR(VLOOKUP(K$6&amp;$C7,'◆（運営）③結果入力'!$D$16:$I$345,6,FALSE)),IF(VLOOKUP(K$6&amp;$C7,'◆（運営）③結果入力'!$E$16:$J$345,6,FALSE)="","",VLOOKUP(K$6&amp;$C7,'◆（運営）③結果入力'!$E$16:$J$345,6,FALSE)),IF(VLOOKUP(K$6&amp;$C7,'◆（運営）③結果入力'!$D$16:$I$345,6,FALSE)="","",VLOOKUP(K$6&amp;$C7,'◆（運営）③結果入力'!$D$16:$I$345,6,FALSE)))</f>
        <v>W</v>
      </c>
      <c r="L7" s="297" t="str">
        <f>IF(ISERROR(VLOOKUP(L$6&amp;$C7,'◆（運営）③結果入力'!$D$16:$I$345,6,FALSE)),IF(VLOOKUP(L$6&amp;$C7,'◆（運営）③結果入力'!$E$16:$J$345,6,FALSE)="","",VLOOKUP(L$6&amp;$C7,'◆（運営）③結果入力'!$E$16:$J$345,6,FALSE)),IF(VLOOKUP(L$6&amp;$C7,'◆（運営）③結果入力'!$D$16:$I$345,6,FALSE)="","",VLOOKUP(L$6&amp;$C7,'◆（運営）③結果入力'!$D$16:$I$345,6,FALSE)))</f>
        <v>W</v>
      </c>
      <c r="M7" s="297" t="str">
        <f>IF(ISERROR(VLOOKUP(M$6&amp;$C7,'◆（運営）③結果入力'!$D$16:$I$345,6,FALSE)),IF(VLOOKUP(M$6&amp;$C7,'◆（運営）③結果入力'!$E$16:$J$345,6,FALSE)="","",VLOOKUP(M$6&amp;$C7,'◆（運営）③結果入力'!$E$16:$J$345,6,FALSE)),IF(VLOOKUP(M$6&amp;$C7,'◆（運営）③結果入力'!$D$16:$I$345,6,FALSE)="","",VLOOKUP(M$6&amp;$C7,'◆（運営）③結果入力'!$D$16:$I$345,6,FALSE)))</f>
        <v>W</v>
      </c>
      <c r="N7" s="297">
        <f>IF(ISERROR(VLOOKUP(N$6&amp;$C7,'◆（運営）③結果入力'!$D$16:$I$345,6,FALSE)),IF(VLOOKUP(N$6&amp;$C7,'◆（運営）③結果入力'!$E$16:$J$345,6,FALSE)="","",VLOOKUP(N$6&amp;$C7,'◆（運営）③結果入力'!$E$16:$J$345,6,FALSE)),IF(VLOOKUP(N$6&amp;$C7,'◆（運営）③結果入力'!$D$16:$I$345,6,FALSE)="","",VLOOKUP(N$6&amp;$C7,'◆（運営）③結果入力'!$D$16:$I$345,6,FALSE)))</f>
        <v>36</v>
      </c>
      <c r="O7" s="297" t="str">
        <f>IF(O6="","",IF(ISERROR(VLOOKUP(O$6&amp;$C7,'◆（運営）③結果入力'!$D$16:$I$345,6,FALSE)),IF(VLOOKUP(O$6&amp;$C7,'◆（運営）③結果入力'!$E$16:$J$345,6,FALSE)="","",VLOOKUP(O$6&amp;$C7,'◆（運営）③結果入力'!$E$16:$J$345,6,FALSE)),IF(VLOOKUP(O$6&amp;$C7,'◆（運営）③結果入力'!$D$16:$I$345,6,FALSE)="","",VLOOKUP(O$6&amp;$C7,'◆（運営）③結果入力'!$D$16:$I$345,6,FALSE))))</f>
        <v>W</v>
      </c>
      <c r="P7" s="298">
        <f aca="true" t="shared" si="0" ref="P7:P16">IF(COUNTBLANK(F7:O7)=10,"",COUNTIF(F7:O7,"W"))</f>
        <v>7</v>
      </c>
      <c r="Q7" s="299">
        <f aca="true" t="shared" si="1" ref="Q7:Q16">IF(COUNTBLANK(F7:O7)=10,"",COUNT(F7:O7))</f>
        <v>2</v>
      </c>
      <c r="R7" s="300">
        <f aca="true" t="shared" si="2" ref="R7:R16">IF(COUNTBLANK(F7:O7)=10,"",SUM(F7:O7)+(P7*120))</f>
        <v>953</v>
      </c>
      <c r="S7" s="300">
        <f>IF(COUNTBLANK(F7:O7)=10,"",SUM(F7:F16)+(Q7*120))</f>
        <v>567</v>
      </c>
      <c r="T7" s="336">
        <f aca="true" t="shared" si="3" ref="T7:T16">IF(COUNTBLANK(F7:O7)=10,"",IF(P7+Q7=0,"",RANK(W7,$W$7:$W$16,0)))</f>
        <v>2</v>
      </c>
      <c r="U7" s="276">
        <f aca="true" t="shared" si="4" ref="U7:U16">COUNTA($F$6:$O$6)-1-V7</f>
        <v>9</v>
      </c>
      <c r="V7" s="276">
        <f aca="true" t="shared" si="5" ref="V7:V16">COUNTBLANK(F7:O7)-1</f>
        <v>0</v>
      </c>
      <c r="W7" s="276">
        <f aca="true" t="shared" si="6" ref="W7:W16">IF(P7="",0,P7*100000000+R7*10000-S7)</f>
        <v>709529433</v>
      </c>
      <c r="X7" s="276">
        <f>IF(W7=0,"",IF(W7=MAX($W$7,$W$20,$W$33,$W$46,$W$59),1,""))</f>
        <v>1</v>
      </c>
      <c r="Y7" s="276" t="str">
        <f aca="true" t="shared" si="7" ref="Y7:Y16">X7&amp;B7</f>
        <v>1兵庫</v>
      </c>
      <c r="Z7" s="276" t="str">
        <f aca="true" t="shared" si="8" ref="Z7:Z16">C7</f>
        <v>高木 俊行</v>
      </c>
      <c r="AA7" s="385"/>
      <c r="AB7" s="337">
        <f>IF(ISERROR(VLOOKUP(G$6&amp;$C7,'◆（運営）③結果入力'!$D$16:$K$345,5,FALSE)),IF(VLOOKUP(G$6&amp;$C7,'◆（運営）③結果入力'!$E$16:$K$345,7,FALSE)="","",VLOOKUP(G$6&amp;$C7,'◆（運営）③結果入力'!$E$16:$K$345,7,FALSE)),IF(VLOOKUP(G$6&amp;$C7,'◆（運営）③結果入力'!$D$16:$K$345,5,FALSE)="","",VLOOKUP(G$6&amp;$C7,'◆（運営）③結果入力'!$D$16:$K$345,5,FALSE)))</f>
      </c>
      <c r="AC7" s="337">
        <f>IF(ISERROR(VLOOKUP(H$6&amp;$C7,'◆（運営）③結果入力'!$D$16:$K$345,5,FALSE)),IF(VLOOKUP(H$6&amp;$C7,'◆（運営）③結果入力'!$E$16:$K$345,7,FALSE)="","",VLOOKUP(H$6&amp;$C7,'◆（運営）③結果入力'!$E$16:$K$345,7,FALSE)),IF(VLOOKUP(H$6&amp;$C7,'◆（運営）③結果入力'!$D$16:$K$345,5,FALSE)="","",VLOOKUP(H$6&amp;$C7,'◆（運営）③結果入力'!$D$16:$K$345,5,FALSE)))</f>
      </c>
      <c r="AD7" s="337">
        <f>IF(ISERROR(VLOOKUP(I$6&amp;$C7,'◆（運営）③結果入力'!$D$16:$K$345,5,FALSE)),IF(VLOOKUP(I$6&amp;$C7,'◆（運営）③結果入力'!$E$16:$K$345,7,FALSE)="","",VLOOKUP(I$6&amp;$C7,'◆（運営）③結果入力'!$E$16:$K$345,7,FALSE)),IF(VLOOKUP(I$6&amp;$C7,'◆（運営）③結果入力'!$D$16:$K$345,5,FALSE)="","",VLOOKUP(I$6&amp;$C7,'◆（運営）③結果入力'!$D$16:$K$345,5,FALSE)))</f>
      </c>
      <c r="AE7" s="337">
        <f>IF(ISERROR(VLOOKUP(J$6&amp;$C7,'◆（運営）③結果入力'!$D$16:$K$345,5,FALSE)),IF(VLOOKUP(J$6&amp;$C7,'◆（運営）③結果入力'!$E$16:$K$345,7,FALSE)="","",VLOOKUP(J$6&amp;$C7,'◆（運営）③結果入力'!$E$16:$K$345,7,FALSE)),IF(VLOOKUP(J$6&amp;$C7,'◆（運営）③結果入力'!$D$16:$K$345,5,FALSE)="","",VLOOKUP(J$6&amp;$C7,'◆（運営）③結果入力'!$D$16:$K$345,5,FALSE)))</f>
      </c>
      <c r="AF7" s="337">
        <f>IF(ISERROR(VLOOKUP(K$6&amp;$C7,'◆（運営）③結果入力'!$D$16:$K$345,5,FALSE)),IF(VLOOKUP(K$6&amp;$C7,'◆（運営）③結果入力'!$E$16:$K$345,7,FALSE)="","",VLOOKUP(K$6&amp;$C7,'◆（運営）③結果入力'!$E$16:$K$345,7,FALSE)),IF(VLOOKUP(K$6&amp;$C7,'◆（運営）③結果入力'!$D$16:$K$345,5,FALSE)="","",VLOOKUP(K$6&amp;$C7,'◆（運営）③結果入力'!$D$16:$K$345,5,FALSE)))</f>
      </c>
      <c r="AG7" s="337">
        <f>IF(ISERROR(VLOOKUP(L$6&amp;$C7,'◆（運営）③結果入力'!$D$16:$K$345,5,FALSE)),IF(VLOOKUP(L$6&amp;$C7,'◆（運営）③結果入力'!$E$16:$K$345,7,FALSE)="","",VLOOKUP(L$6&amp;$C7,'◆（運営）③結果入力'!$E$16:$K$345,7,FALSE)),IF(VLOOKUP(L$6&amp;$C7,'◆（運営）③結果入力'!$D$16:$K$345,5,FALSE)="","",VLOOKUP(L$6&amp;$C7,'◆（運営）③結果入力'!$D$16:$K$345,5,FALSE)))</f>
      </c>
      <c r="AH7" s="337">
        <f>IF(ISERROR(VLOOKUP(M$6&amp;$C7,'◆（運営）③結果入力'!$D$16:$K$345,5,FALSE)),IF(VLOOKUP(M$6&amp;$C7,'◆（運営）③結果入力'!$E$16:$K$345,7,FALSE)="","",VLOOKUP(M$6&amp;$C7,'◆（運営）③結果入力'!$E$16:$K$345,7,FALSE)),IF(VLOOKUP(M$6&amp;$C7,'◆（運営）③結果入力'!$D$16:$K$345,5,FALSE)="","",VLOOKUP(M$6&amp;$C7,'◆（運営）③結果入力'!$D$16:$K$345,5,FALSE)))</f>
      </c>
      <c r="AI7" s="337">
        <f>IF(ISERROR(VLOOKUP(N$6&amp;$C7,'◆（運営）③結果入力'!$D$16:$K$345,5,FALSE)),IF(VLOOKUP(N$6&amp;$C7,'◆（運営）③結果入力'!$E$16:$K$345,7,FALSE)="","",VLOOKUP(N$6&amp;$C7,'◆（運営）③結果入力'!$E$16:$K$345,7,FALSE)),IF(VLOOKUP(N$6&amp;$C7,'◆（運営）③結果入力'!$D$16:$K$345,5,FALSE)="","",VLOOKUP(N$6&amp;$C7,'◆（運営）③結果入力'!$D$16:$K$345,5,FALSE)))</f>
      </c>
      <c r="AJ7" s="337">
        <f>IF(O6="","",IF(ISERROR(VLOOKUP(O$6&amp;$C7,'◆（運営）③結果入力'!$D$16:$K$345,5,FALSE)),IF(VLOOKUP(O$6&amp;$C7,'◆（運営）③結果入力'!$E$16:$K$345,7,FALSE)="","",VLOOKUP(O$6&amp;$C7,'◆（運営）③結果入力'!$E$16:$K$345,7,FALSE)),IF(VLOOKUP(O$6&amp;$C7,'◆（運営）③結果入力'!$D$16:$K$345,5,FALSE)="","",VLOOKUP(O$6&amp;$C7,'◆（運営）③結果入力'!$D$16:$K$345,5,FALSE))))</f>
      </c>
      <c r="AK7" s="337"/>
      <c r="AL7" s="338"/>
      <c r="AM7" s="339">
        <f aca="true" t="shared" si="9" ref="AM7:AM16">IF(COUNTBLANK(AA7:AL7)=12,"",IF(AO7&gt;0,"A120",IF(AP7&gt;0,"B120",MAX(AA7:AL7))))</f>
      </c>
      <c r="AO7" s="335">
        <f aca="true" t="shared" si="10" ref="AO7:AO16">COUNTIF(AA7:AL7,"A120")</f>
        <v>0</v>
      </c>
      <c r="AP7" s="335">
        <f aca="true" t="shared" si="11" ref="AP7:AP16">COUNTIF(AA7:AL7,"B120")</f>
        <v>0</v>
      </c>
      <c r="AQ7" s="335">
        <f aca="true" t="shared" si="12" ref="AQ7:AQ16">SUM(AA7:AL7)</f>
        <v>0</v>
      </c>
      <c r="AR7" s="335">
        <f aca="true" t="shared" si="13" ref="AR7:AR16">AO7*1000000+AP7*10000+AQ7</f>
        <v>0</v>
      </c>
      <c r="AS7" s="335">
        <f aca="true" t="shared" si="14" ref="AS7:AS16">RANK(AR7,$AR$7:$AR$68,0)</f>
        <v>17</v>
      </c>
    </row>
    <row r="8" spans="1:45" ht="12" customHeight="1">
      <c r="A8" s="274">
        <v>2</v>
      </c>
      <c r="B8" s="315" t="str">
        <f>'ブロック表'!C5</f>
        <v>愛知</v>
      </c>
      <c r="C8" s="316" t="str">
        <f>IF(B8="","",VLOOKUP(B8,'ブロック表'!$C$4:$N$15,3,FALSE))</f>
        <v>小川 晃</v>
      </c>
      <c r="D8" s="317"/>
      <c r="E8" s="318"/>
      <c r="F8" s="319" t="str">
        <f>IF(ISERROR(VLOOKUP(F$6&amp;$C8,'◆（運営）③結果入力'!$D$16:$I$345,6,FALSE)),IF(VLOOKUP(F$6&amp;$C8,'◆（運営）③結果入力'!$E$16:$J$345,6,FALSE)="","",VLOOKUP(F$6&amp;$C8,'◆（運営）③結果入力'!$E$16:$J$345,6,FALSE)),IF(VLOOKUP(F$6&amp;$C8,'◆（運営）③結果入力'!$D$16:$I$345,6,FALSE)="","",VLOOKUP(F$6&amp;$C8,'◆（運営）③結果入力'!$D$16:$I$345,6,FALSE)))</f>
        <v>W</v>
      </c>
      <c r="G8" s="383"/>
      <c r="H8" s="320" t="str">
        <f>IF(ISERROR(VLOOKUP(H$6&amp;$C8,'◆（運営）③結果入力'!$D$16:$I$345,6,FALSE)),IF(VLOOKUP(H$6&amp;$C8,'◆（運営）③結果入力'!$E$16:$J$345,6,FALSE)="","",VLOOKUP(H$6&amp;$C8,'◆（運営）③結果入力'!$E$16:$J$345,6,FALSE)),IF(VLOOKUP(H$6&amp;$C8,'◆（運営）③結果入力'!$D$16:$I$345,6,FALSE)="","",VLOOKUP(H$6&amp;$C8,'◆（運営）③結果入力'!$D$16:$I$345,6,FALSE)))</f>
        <v>W</v>
      </c>
      <c r="I8" s="320">
        <f>IF(ISERROR(VLOOKUP(I$6&amp;$C8,'◆（運営）③結果入力'!$D$16:$I$345,6,FALSE)),IF(VLOOKUP(I$6&amp;$C8,'◆（運営）③結果入力'!$E$16:$J$345,6,FALSE)="","",VLOOKUP(I$6&amp;$C8,'◆（運営）③結果入力'!$E$16:$J$345,6,FALSE)),IF(VLOOKUP(I$6&amp;$C8,'◆（運営）③結果入力'!$D$16:$I$345,6,FALSE)="","",VLOOKUP(I$6&amp;$C8,'◆（運営）③結果入力'!$D$16:$I$345,6,FALSE)))</f>
        <v>1</v>
      </c>
      <c r="J8" s="320" t="str">
        <f>IF(ISERROR(VLOOKUP(J$6&amp;$C8,'◆（運営）③結果入力'!$D$16:$I$345,6,FALSE)),IF(VLOOKUP(J$6&amp;$C8,'◆（運営）③結果入力'!$E$16:$J$345,6,FALSE)="","",VLOOKUP(J$6&amp;$C8,'◆（運営）③結果入力'!$E$16:$J$345,6,FALSE)),IF(VLOOKUP(J$6&amp;$C8,'◆（運営）③結果入力'!$D$16:$I$345,6,FALSE)="","",VLOOKUP(J$6&amp;$C8,'◆（運営）③結果入力'!$D$16:$I$345,6,FALSE)))</f>
        <v>W</v>
      </c>
      <c r="K8" s="320">
        <f>IF(ISERROR(VLOOKUP(K$6&amp;$C8,'◆（運営）③結果入力'!$D$16:$I$345,6,FALSE)),IF(VLOOKUP(K$6&amp;$C8,'◆（運営）③結果入力'!$E$16:$J$345,6,FALSE)="","",VLOOKUP(K$6&amp;$C8,'◆（運営）③結果入力'!$E$16:$J$345,6,FALSE)),IF(VLOOKUP(K$6&amp;$C8,'◆（運営）③結果入力'!$D$16:$I$345,6,FALSE)="","",VLOOKUP(K$6&amp;$C8,'◆（運営）③結果入力'!$D$16:$I$345,6,FALSE)))</f>
        <v>35</v>
      </c>
      <c r="L8" s="320" t="str">
        <f>IF(ISERROR(VLOOKUP(L$6&amp;$C8,'◆（運営）③結果入力'!$D$16:$I$345,6,FALSE)),IF(VLOOKUP(L$6&amp;$C8,'◆（運営）③結果入力'!$E$16:$J$345,6,FALSE)="","",VLOOKUP(L$6&amp;$C8,'◆（運営）③結果入力'!$E$16:$J$345,6,FALSE)),IF(VLOOKUP(L$6&amp;$C8,'◆（運営）③結果入力'!$D$16:$I$345,6,FALSE)="","",VLOOKUP(L$6&amp;$C8,'◆（運営）③結果入力'!$D$16:$I$345,6,FALSE)))</f>
        <v>W</v>
      </c>
      <c r="M8" s="320">
        <f>IF(ISERROR(VLOOKUP(M$6&amp;$C8,'◆（運営）③結果入力'!$D$16:$I$345,6,FALSE)),IF(VLOOKUP(M$6&amp;$C8,'◆（運営）③結果入力'!$E$16:$J$345,6,FALSE)="","",VLOOKUP(M$6&amp;$C8,'◆（運営）③結果入力'!$E$16:$J$345,6,FALSE)),IF(VLOOKUP(M$6&amp;$C8,'◆（運営）③結果入力'!$D$16:$I$345,6,FALSE)="","",VLOOKUP(M$6&amp;$C8,'◆（運営）③結果入力'!$D$16:$I$345,6,FALSE)))</f>
        <v>115</v>
      </c>
      <c r="N8" s="320" t="str">
        <f>IF(ISERROR(VLOOKUP(N$6&amp;$C8,'◆（運営）③結果入力'!$D$16:$I$345,6,FALSE)),IF(VLOOKUP(N$6&amp;$C8,'◆（運営）③結果入力'!$E$16:$J$345,6,FALSE)="","",VLOOKUP(N$6&amp;$C8,'◆（運営）③結果入力'!$E$16:$J$345,6,FALSE)),IF(VLOOKUP(N$6&amp;$C8,'◆（運営）③結果入力'!$D$16:$I$345,6,FALSE)="","",VLOOKUP(N$6&amp;$C8,'◆（運営）③結果入力'!$D$16:$I$345,6,FALSE)))</f>
        <v>W</v>
      </c>
      <c r="O8" s="320" t="str">
        <f>IF(O6="","",IF(ISERROR(VLOOKUP(O$6&amp;$C8,'◆（運営）③結果入力'!$D$16:$I$345,6,FALSE)),IF(VLOOKUP(O$6&amp;$C8,'◆（運営）③結果入力'!$E$16:$J$345,6,FALSE)="","",VLOOKUP(O$6&amp;$C8,'◆（運営）③結果入力'!$E$16:$J$345,6,FALSE)),IF(VLOOKUP(O$6&amp;$C8,'◆（運営）③結果入力'!$D$16:$I$345,6,FALSE)="","",VLOOKUP(O$6&amp;$C8,'◆（運営）③結果入力'!$D$16:$I$345,6,FALSE))))</f>
        <v>W</v>
      </c>
      <c r="P8" s="340">
        <f t="shared" si="0"/>
        <v>6</v>
      </c>
      <c r="Q8" s="200">
        <f t="shared" si="1"/>
        <v>3</v>
      </c>
      <c r="R8" s="341">
        <f t="shared" si="2"/>
        <v>871</v>
      </c>
      <c r="S8" s="341">
        <f>IF(COUNTBLANK(F8:O8)=10,"",SUM(G7:G16)+(Q8*120))</f>
        <v>636</v>
      </c>
      <c r="T8" s="303">
        <f t="shared" si="3"/>
        <v>3</v>
      </c>
      <c r="U8" s="276">
        <f t="shared" si="4"/>
        <v>9</v>
      </c>
      <c r="V8" s="276">
        <f t="shared" si="5"/>
        <v>0</v>
      </c>
      <c r="W8" s="276">
        <f t="shared" si="6"/>
        <v>608709364</v>
      </c>
      <c r="X8" s="276">
        <f>IF(W8=0,"",IF(W8=MAX($W$8,$W$21,$W$34,$W$47,$W$60),1,""))</f>
      </c>
      <c r="Y8" s="276" t="str">
        <f t="shared" si="7"/>
        <v>愛知</v>
      </c>
      <c r="Z8" s="276" t="str">
        <f t="shared" si="8"/>
        <v>小川 晃</v>
      </c>
      <c r="AA8" s="342">
        <f>IF(ISERROR(VLOOKUP(F$6&amp;$C8,'◆（運営）③結果入力'!$D$16:$K$345,5,FALSE)),IF(VLOOKUP(F$6&amp;$C8,'◆（運営）③結果入力'!$E$16:$K$345,7,FALSE)="","",VLOOKUP(F$6&amp;$C8,'◆（運営）③結果入力'!$E$16:$K$345,7,FALSE)),IF(VLOOKUP(F$6&amp;$C8,'◆（運営）③結果入力'!$D$16:$K$345,5,FALSE)="","",VLOOKUP(F$6&amp;$C8,'◆（運営）③結果入力'!$D$16:$K$345,5,FALSE)))</f>
      </c>
      <c r="AB8" s="386"/>
      <c r="AC8" s="343">
        <f>IF(ISERROR(VLOOKUP(H$6&amp;$C8,'◆（運営）③結果入力'!$D$16:$K$345,5,FALSE)),IF(VLOOKUP(H$6&amp;$C8,'◆（運営）③結果入力'!$E$16:$K$345,7,FALSE)="","",VLOOKUP(H$6&amp;$C8,'◆（運営）③結果入力'!$E$16:$K$345,7,FALSE)),IF(VLOOKUP(H$6&amp;$C8,'◆（運営）③結果入力'!$D$16:$K$345,5,FALSE)="","",VLOOKUP(H$6&amp;$C8,'◆（運営）③結果入力'!$D$16:$K$345,5,FALSE)))</f>
      </c>
      <c r="AD8" s="343">
        <f>IF(ISERROR(VLOOKUP(I$6&amp;$C8,'◆（運営）③結果入力'!$D$16:$K$345,5,FALSE)),IF(VLOOKUP(I$6&amp;$C8,'◆（運営）③結果入力'!$E$16:$K$345,7,FALSE)="","",VLOOKUP(I$6&amp;$C8,'◆（運営）③結果入力'!$E$16:$K$345,7,FALSE)),IF(VLOOKUP(I$6&amp;$C8,'◆（運営）③結果入力'!$D$16:$K$345,5,FALSE)="","",VLOOKUP(I$6&amp;$C8,'◆（運営）③結果入力'!$D$16:$K$345,5,FALSE)))</f>
      </c>
      <c r="AE8" s="343">
        <f>IF(ISERROR(VLOOKUP(J$6&amp;$C8,'◆（運営）③結果入力'!$D$16:$K$345,5,FALSE)),IF(VLOOKUP(J$6&amp;$C8,'◆（運営）③結果入力'!$E$16:$K$345,7,FALSE)="","",VLOOKUP(J$6&amp;$C8,'◆（運営）③結果入力'!$E$16:$K$345,7,FALSE)),IF(VLOOKUP(J$6&amp;$C8,'◆（運営）③結果入力'!$D$16:$K$345,5,FALSE)="","",VLOOKUP(J$6&amp;$C8,'◆（運営）③結果入力'!$D$16:$K$345,5,FALSE)))</f>
      </c>
      <c r="AF8" s="343">
        <f>IF(ISERROR(VLOOKUP(K$6&amp;$C8,'◆（運営）③結果入力'!$D$16:$K$345,5,FALSE)),IF(VLOOKUP(K$6&amp;$C8,'◆（運営）③結果入力'!$E$16:$K$345,7,FALSE)="","",VLOOKUP(K$6&amp;$C8,'◆（運営）③結果入力'!$E$16:$K$345,7,FALSE)),IF(VLOOKUP(K$6&amp;$C8,'◆（運営）③結果入力'!$D$16:$K$345,5,FALSE)="","",VLOOKUP(K$6&amp;$C8,'◆（運営）③結果入力'!$D$16:$K$345,5,FALSE)))</f>
      </c>
      <c r="AG8" s="343">
        <f>IF(ISERROR(VLOOKUP(L$6&amp;$C8,'◆（運営）③結果入力'!$D$16:$K$345,5,FALSE)),IF(VLOOKUP(L$6&amp;$C8,'◆（運営）③結果入力'!$E$16:$K$345,7,FALSE)="","",VLOOKUP(L$6&amp;$C8,'◆（運営）③結果入力'!$E$16:$K$345,7,FALSE)),IF(VLOOKUP(L$6&amp;$C8,'◆（運営）③結果入力'!$D$16:$K$345,5,FALSE)="","",VLOOKUP(L$6&amp;$C8,'◆（運営）③結果入力'!$D$16:$K$345,5,FALSE)))</f>
      </c>
      <c r="AH8" s="343">
        <f>IF(ISERROR(VLOOKUP(M$6&amp;$C8,'◆（運営）③結果入力'!$D$16:$K$345,5,FALSE)),IF(VLOOKUP(M$6&amp;$C8,'◆（運営）③結果入力'!$E$16:$K$345,7,FALSE)="","",VLOOKUP(M$6&amp;$C8,'◆（運営）③結果入力'!$E$16:$K$345,7,FALSE)),IF(VLOOKUP(M$6&amp;$C8,'◆（運営）③結果入力'!$D$16:$K$345,5,FALSE)="","",VLOOKUP(M$6&amp;$C8,'◆（運営）③結果入力'!$D$16:$K$345,5,FALSE)))</f>
      </c>
      <c r="AI8" s="343">
        <f>IF(ISERROR(VLOOKUP(N$6&amp;$C8,'◆（運営）③結果入力'!$D$16:$K$345,5,FALSE)),IF(VLOOKUP(N$6&amp;$C8,'◆（運営）③結果入力'!$E$16:$K$345,7,FALSE)="","",VLOOKUP(N$6&amp;$C8,'◆（運営）③結果入力'!$E$16:$K$345,7,FALSE)),IF(VLOOKUP(N$6&amp;$C8,'◆（運営）③結果入力'!$D$16:$K$345,5,FALSE)="","",VLOOKUP(N$6&amp;$C8,'◆（運営）③結果入力'!$D$16:$K$345,5,FALSE)))</f>
        <v>105</v>
      </c>
      <c r="AJ8" s="343">
        <f>IF(O6="","",IF(ISERROR(VLOOKUP(O$6&amp;$C8,'◆（運営）③結果入力'!$D$16:$K$345,5,FALSE)),IF(VLOOKUP(O$6&amp;$C8,'◆（運営）③結果入力'!$E$16:$K$345,7,FALSE)="","",VLOOKUP(O$6&amp;$C8,'◆（運営）③結果入力'!$E$16:$K$345,7,FALSE)),IF(VLOOKUP(O$6&amp;$C8,'◆（運営）③結果入力'!$D$16:$K$345,5,FALSE)="","",VLOOKUP(O$6&amp;$C8,'◆（運営）③結果入力'!$D$16:$K$345,5,FALSE))))</f>
      </c>
      <c r="AK8" s="343"/>
      <c r="AL8" s="344"/>
      <c r="AM8" s="345">
        <f t="shared" si="9"/>
        <v>105</v>
      </c>
      <c r="AO8" s="335">
        <f t="shared" si="10"/>
        <v>0</v>
      </c>
      <c r="AP8" s="335">
        <f t="shared" si="11"/>
        <v>0</v>
      </c>
      <c r="AQ8" s="335">
        <f t="shared" si="12"/>
        <v>105</v>
      </c>
      <c r="AR8" s="335">
        <f t="shared" si="13"/>
        <v>105</v>
      </c>
      <c r="AS8" s="335">
        <f t="shared" si="14"/>
        <v>15</v>
      </c>
    </row>
    <row r="9" spans="1:45" ht="12" customHeight="1">
      <c r="A9" s="274">
        <v>3</v>
      </c>
      <c r="B9" s="315" t="str">
        <f>'ブロック表'!C6</f>
        <v>京都</v>
      </c>
      <c r="C9" s="316" t="str">
        <f>IF(B9="","",VLOOKUP(B9,'ブロック表'!$C$4:$N$15,3,FALSE))</f>
        <v>今村 哲也</v>
      </c>
      <c r="D9" s="317"/>
      <c r="E9" s="318"/>
      <c r="F9" s="319">
        <f>IF(ISERROR(VLOOKUP(F$6&amp;$C9,'◆（運営）③結果入力'!$D$16:$I$345,6,FALSE)),IF(VLOOKUP(F$6&amp;$C9,'◆（運営）③結果入力'!$E$16:$J$345,6,FALSE)="","",VLOOKUP(F$6&amp;$C9,'◆（運営）③結果入力'!$E$16:$J$345,6,FALSE)),IF(VLOOKUP(F$6&amp;$C9,'◆（運営）③結果入力'!$D$16:$I$345,6,FALSE)="","",VLOOKUP(F$6&amp;$C9,'◆（運営）③結果入力'!$D$16:$I$345,6,FALSE)))</f>
        <v>92</v>
      </c>
      <c r="G9" s="320">
        <f>IF(ISERROR(VLOOKUP(G$6&amp;$C9,'◆（運営）③結果入力'!$D$16:$I$345,6,FALSE)),IF(VLOOKUP(G$6&amp;$C9,'◆（運営）③結果入力'!$E$16:$J$345,6,FALSE)="","",VLOOKUP(G$6&amp;$C9,'◆（運営）③結果入力'!$E$16:$J$345,6,FALSE)),IF(VLOOKUP(G$6&amp;$C9,'◆（運営）③結果入力'!$D$16:$I$345,6,FALSE)="","",VLOOKUP(G$6&amp;$C9,'◆（運営）③結果入力'!$D$16:$I$345,6,FALSE)))</f>
        <v>6</v>
      </c>
      <c r="H9" s="383"/>
      <c r="I9" s="320">
        <f>IF(ISERROR(VLOOKUP(I$6&amp;$C9,'◆（運営）③結果入力'!$D$16:$I$345,6,FALSE)),IF(VLOOKUP(I$6&amp;$C9,'◆（運営）③結果入力'!$E$16:$J$345,6,FALSE)="","",VLOOKUP(I$6&amp;$C9,'◆（運営）③結果入力'!$E$16:$J$345,6,FALSE)),IF(VLOOKUP(I$6&amp;$C9,'◆（運営）③結果入力'!$D$16:$I$345,6,FALSE)="","",VLOOKUP(I$6&amp;$C9,'◆（運営）③結果入力'!$D$16:$I$345,6,FALSE)))</f>
        <v>0</v>
      </c>
      <c r="J9" s="320" t="str">
        <f>IF(ISERROR(VLOOKUP(J$6&amp;$C9,'◆（運営）③結果入力'!$D$16:$I$345,6,FALSE)),IF(VLOOKUP(J$6&amp;$C9,'◆（運営）③結果入力'!$E$16:$J$345,6,FALSE)="","",VLOOKUP(J$6&amp;$C9,'◆（運営）③結果入力'!$E$16:$J$345,6,FALSE)),IF(VLOOKUP(J$6&amp;$C9,'◆（運営）③結果入力'!$D$16:$I$345,6,FALSE)="","",VLOOKUP(J$6&amp;$C9,'◆（運営）③結果入力'!$D$16:$I$345,6,FALSE)))</f>
        <v>W</v>
      </c>
      <c r="K9" s="320" t="str">
        <f>IF(ISERROR(VLOOKUP(K$6&amp;$C9,'◆（運営）③結果入力'!$D$16:$I$345,6,FALSE)),IF(VLOOKUP(K$6&amp;$C9,'◆（運営）③結果入力'!$E$16:$J$345,6,FALSE)="","",VLOOKUP(K$6&amp;$C9,'◆（運営）③結果入力'!$E$16:$J$345,6,FALSE)),IF(VLOOKUP(K$6&amp;$C9,'◆（運営）③結果入力'!$D$16:$I$345,6,FALSE)="","",VLOOKUP(K$6&amp;$C9,'◆（運営）③結果入力'!$D$16:$I$345,6,FALSE)))</f>
        <v>W</v>
      </c>
      <c r="L9" s="320" t="str">
        <f>IF(ISERROR(VLOOKUP(L$6&amp;$C9,'◆（運営）③結果入力'!$D$16:$I$345,6,FALSE)),IF(VLOOKUP(L$6&amp;$C9,'◆（運営）③結果入力'!$E$16:$J$345,6,FALSE)="","",VLOOKUP(L$6&amp;$C9,'◆（運営）③結果入力'!$E$16:$J$345,6,FALSE)),IF(VLOOKUP(L$6&amp;$C9,'◆（運営）③結果入力'!$D$16:$I$345,6,FALSE)="","",VLOOKUP(L$6&amp;$C9,'◆（運営）③結果入力'!$D$16:$I$345,6,FALSE)))</f>
        <v>W</v>
      </c>
      <c r="M9" s="320" t="str">
        <f>IF(ISERROR(VLOOKUP(M$6&amp;$C9,'◆（運営）③結果入力'!$D$16:$I$345,6,FALSE)),IF(VLOOKUP(M$6&amp;$C9,'◆（運営）③結果入力'!$E$16:$J$345,6,FALSE)="","",VLOOKUP(M$6&amp;$C9,'◆（運営）③結果入力'!$E$16:$J$345,6,FALSE)),IF(VLOOKUP(M$6&amp;$C9,'◆（運営）③結果入力'!$D$16:$I$345,6,FALSE)="","",VLOOKUP(M$6&amp;$C9,'◆（運営）③結果入力'!$D$16:$I$345,6,FALSE)))</f>
        <v>W</v>
      </c>
      <c r="N9" s="320">
        <f>IF(ISERROR(VLOOKUP(N$6&amp;$C9,'◆（運営）③結果入力'!$D$16:$I$345,6,FALSE)),IF(VLOOKUP(N$6&amp;$C9,'◆（運営）③結果入力'!$E$16:$J$345,6,FALSE)="","",VLOOKUP(N$6&amp;$C9,'◆（運営）③結果入力'!$E$16:$J$345,6,FALSE)),IF(VLOOKUP(N$6&amp;$C9,'◆（運営）③結果入力'!$D$16:$I$345,6,FALSE)="","",VLOOKUP(N$6&amp;$C9,'◆（運営）③結果入力'!$D$16:$I$345,6,FALSE)))</f>
        <v>16</v>
      </c>
      <c r="O9" s="320">
        <f>IF(O6="","",IF(ISERROR(VLOOKUP(O$6&amp;$C9,'◆（運営）③結果入力'!$D$16:$I$345,6,FALSE)),IF(VLOOKUP(O$6&amp;$C9,'◆（運営）③結果入力'!$E$16:$J$345,6,FALSE)="","",VLOOKUP(O$6&amp;$C9,'◆（運営）③結果入力'!$E$16:$J$345,6,FALSE)),IF(VLOOKUP(O$6&amp;$C9,'◆（運営）③結果入力'!$D$16:$I$345,6,FALSE)="","",VLOOKUP(O$6&amp;$C9,'◆（運営）③結果入力'!$D$16:$I$345,6,FALSE))))</f>
        <v>69</v>
      </c>
      <c r="P9" s="340">
        <f t="shared" si="0"/>
        <v>4</v>
      </c>
      <c r="Q9" s="200">
        <f t="shared" si="1"/>
        <v>5</v>
      </c>
      <c r="R9" s="341">
        <f t="shared" si="2"/>
        <v>663</v>
      </c>
      <c r="S9" s="341">
        <f>IF(COUNTBLANK(F9:O9)=10,"",SUM(H7:H16)+(Q9*120))</f>
        <v>780</v>
      </c>
      <c r="T9" s="303">
        <f t="shared" si="3"/>
        <v>7</v>
      </c>
      <c r="U9" s="276">
        <f t="shared" si="4"/>
        <v>9</v>
      </c>
      <c r="V9" s="276">
        <f t="shared" si="5"/>
        <v>0</v>
      </c>
      <c r="W9" s="276">
        <f t="shared" si="6"/>
        <v>406629220</v>
      </c>
      <c r="X9" s="276">
        <f>IF(W9=0,"",IF(W9=MAX($W$9,$W$22,$W$35,$W$48,$W$61),1,""))</f>
      </c>
      <c r="Y9" s="276" t="str">
        <f t="shared" si="7"/>
        <v>京都</v>
      </c>
      <c r="Z9" s="276" t="str">
        <f t="shared" si="8"/>
        <v>今村 哲也</v>
      </c>
      <c r="AA9" s="342">
        <f>IF(ISERROR(VLOOKUP(F$6&amp;$C9,'◆（運営）③結果入力'!$D$16:$K$345,5,FALSE)),IF(VLOOKUP(F$6&amp;$C9,'◆（運営）③結果入力'!$E$16:$K$345,7,FALSE)="","",VLOOKUP(F$6&amp;$C9,'◆（運営）③結果入力'!$E$16:$K$345,7,FALSE)),IF(VLOOKUP(F$6&amp;$C9,'◆（運営）③結果入力'!$D$16:$K$345,5,FALSE)="","",VLOOKUP(F$6&amp;$C9,'◆（運営）③結果入力'!$D$16:$K$345,5,FALSE)))</f>
      </c>
      <c r="AB9" s="343">
        <f>IF(ISERROR(VLOOKUP(G$6&amp;$C9,'◆（運営）③結果入力'!$D$16:$K$345,5,FALSE)),IF(VLOOKUP(G$6&amp;$C9,'◆（運営）③結果入力'!$E$16:$K$345,7,FALSE)="","",VLOOKUP(G$6&amp;$C9,'◆（運営）③結果入力'!$E$16:$K$345,7,FALSE)),IF(VLOOKUP(G$6&amp;$C9,'◆（運営）③結果入力'!$D$16:$K$345,5,FALSE)="","",VLOOKUP(G$6&amp;$C9,'◆（運営）③結果入力'!$D$16:$K$345,5,FALSE)))</f>
      </c>
      <c r="AC9" s="386"/>
      <c r="AD9" s="343">
        <f>IF(ISERROR(VLOOKUP(I$6&amp;$C9,'◆（運営）③結果入力'!$D$16:$K$345,5,FALSE)),IF(VLOOKUP(I$6&amp;$C9,'◆（運営）③結果入力'!$E$16:$K$345,7,FALSE)="","",VLOOKUP(I$6&amp;$C9,'◆（運営）③結果入力'!$E$16:$K$345,7,FALSE)),IF(VLOOKUP(I$6&amp;$C9,'◆（運営）③結果入力'!$D$16:$K$345,5,FALSE)="","",VLOOKUP(I$6&amp;$C9,'◆（運営）③結果入力'!$D$16:$K$345,5,FALSE)))</f>
      </c>
      <c r="AE9" s="343">
        <f>IF(ISERROR(VLOOKUP(J$6&amp;$C9,'◆（運営）③結果入力'!$D$16:$K$345,5,FALSE)),IF(VLOOKUP(J$6&amp;$C9,'◆（運営）③結果入力'!$E$16:$K$345,7,FALSE)="","",VLOOKUP(J$6&amp;$C9,'◆（運営）③結果入力'!$E$16:$K$345,7,FALSE)),IF(VLOOKUP(J$6&amp;$C9,'◆（運営）③結果入力'!$D$16:$K$345,5,FALSE)="","",VLOOKUP(J$6&amp;$C9,'◆（運営）③結果入力'!$D$16:$K$345,5,FALSE)))</f>
      </c>
      <c r="AF9" s="343">
        <f>IF(ISERROR(VLOOKUP(K$6&amp;$C9,'◆（運営）③結果入力'!$D$16:$K$345,5,FALSE)),IF(VLOOKUP(K$6&amp;$C9,'◆（運営）③結果入力'!$E$16:$K$345,7,FALSE)="","",VLOOKUP(K$6&amp;$C9,'◆（運営）③結果入力'!$E$16:$K$345,7,FALSE)),IF(VLOOKUP(K$6&amp;$C9,'◆（運営）③結果入力'!$D$16:$K$345,5,FALSE)="","",VLOOKUP(K$6&amp;$C9,'◆（運営）③結果入力'!$D$16:$K$345,5,FALSE)))</f>
      </c>
      <c r="AG9" s="343">
        <f>IF(ISERROR(VLOOKUP(L$6&amp;$C9,'◆（運営）③結果入力'!$D$16:$K$345,5,FALSE)),IF(VLOOKUP(L$6&amp;$C9,'◆（運営）③結果入力'!$E$16:$K$345,7,FALSE)="","",VLOOKUP(L$6&amp;$C9,'◆（運営）③結果入力'!$E$16:$K$345,7,FALSE)),IF(VLOOKUP(L$6&amp;$C9,'◆（運営）③結果入力'!$D$16:$K$345,5,FALSE)="","",VLOOKUP(L$6&amp;$C9,'◆（運営）③結果入力'!$D$16:$K$345,5,FALSE)))</f>
      </c>
      <c r="AH9" s="343">
        <f>IF(ISERROR(VLOOKUP(M$6&amp;$C9,'◆（運営）③結果入力'!$D$16:$K$345,5,FALSE)),IF(VLOOKUP(M$6&amp;$C9,'◆（運営）③結果入力'!$E$16:$K$345,7,FALSE)="","",VLOOKUP(M$6&amp;$C9,'◆（運営）③結果入力'!$E$16:$K$345,7,FALSE)),IF(VLOOKUP(M$6&amp;$C9,'◆（運営）③結果入力'!$D$16:$K$345,5,FALSE)="","",VLOOKUP(M$6&amp;$C9,'◆（運営）③結果入力'!$D$16:$K$345,5,FALSE)))</f>
        <v>112</v>
      </c>
      <c r="AI9" s="343">
        <f>IF(ISERROR(VLOOKUP(N$6&amp;$C9,'◆（運営）③結果入力'!$D$16:$K$345,5,FALSE)),IF(VLOOKUP(N$6&amp;$C9,'◆（運営）③結果入力'!$E$16:$K$345,7,FALSE)="","",VLOOKUP(N$6&amp;$C9,'◆（運営）③結果入力'!$E$16:$K$345,7,FALSE)),IF(VLOOKUP(N$6&amp;$C9,'◆（運営）③結果入力'!$D$16:$K$345,5,FALSE)="","",VLOOKUP(N$6&amp;$C9,'◆（運営）③結果入力'!$D$16:$K$345,5,FALSE)))</f>
      </c>
      <c r="AJ9" s="343">
        <f>IF(O6="","",IF(ISERROR(VLOOKUP(O$6&amp;$C9,'◆（運営）③結果入力'!$D$16:$K$345,5,FALSE)),IF(VLOOKUP(O$6&amp;$C9,'◆（運営）③結果入力'!$E$16:$K$345,7,FALSE)="","",VLOOKUP(O$6&amp;$C9,'◆（運営）③結果入力'!$E$16:$K$345,7,FALSE)),IF(VLOOKUP(O$6&amp;$C9,'◆（運営）③結果入力'!$D$16:$K$345,5,FALSE)="","",VLOOKUP(O$6&amp;$C9,'◆（運営）③結果入力'!$D$16:$K$345,5,FALSE))))</f>
      </c>
      <c r="AK9" s="343"/>
      <c r="AL9" s="344"/>
      <c r="AM9" s="345">
        <f t="shared" si="9"/>
        <v>112</v>
      </c>
      <c r="AO9" s="335">
        <f t="shared" si="10"/>
        <v>0</v>
      </c>
      <c r="AP9" s="335">
        <f t="shared" si="11"/>
        <v>0</v>
      </c>
      <c r="AQ9" s="335">
        <f t="shared" si="12"/>
        <v>112</v>
      </c>
      <c r="AR9" s="335">
        <f t="shared" si="13"/>
        <v>112</v>
      </c>
      <c r="AS9" s="335">
        <f t="shared" si="14"/>
        <v>13</v>
      </c>
    </row>
    <row r="10" spans="1:45" ht="12" customHeight="1">
      <c r="A10" s="274">
        <v>4</v>
      </c>
      <c r="B10" s="315" t="str">
        <f>'ブロック表'!C7</f>
        <v>大阪A</v>
      </c>
      <c r="C10" s="316" t="str">
        <f>IF(B10="","",VLOOKUP(B10,'ブロック表'!$C$4:$N$15,3,FALSE))</f>
        <v>村上 泰辰</v>
      </c>
      <c r="D10" s="317"/>
      <c r="E10" s="318"/>
      <c r="F10" s="319">
        <f>IF(ISERROR(VLOOKUP(F$6&amp;$C10,'◆（運営）③結果入力'!$D$16:$I$345,6,FALSE)),IF(VLOOKUP(F$6&amp;$C10,'◆（運営）③結果入力'!$E$16:$J$345,6,FALSE)="","",VLOOKUP(F$6&amp;$C10,'◆（運営）③結果入力'!$E$16:$J$345,6,FALSE)),IF(VLOOKUP(F$6&amp;$C10,'◆（運営）③結果入力'!$D$16:$I$345,6,FALSE)="","",VLOOKUP(F$6&amp;$C10,'◆（運営）③結果入力'!$D$16:$I$345,6,FALSE)))</f>
        <v>8</v>
      </c>
      <c r="G10" s="320" t="str">
        <f>IF(ISERROR(VLOOKUP(G$6&amp;$C10,'◆（運営）③結果入力'!$D$16:$I$345,6,FALSE)),IF(VLOOKUP(G$6&amp;$C10,'◆（運営）③結果入力'!$E$16:$J$345,6,FALSE)="","",VLOOKUP(G$6&amp;$C10,'◆（運営）③結果入力'!$E$16:$J$345,6,FALSE)),IF(VLOOKUP(G$6&amp;$C10,'◆（運営）③結果入力'!$D$16:$I$345,6,FALSE)="","",VLOOKUP(G$6&amp;$C10,'◆（運営）③結果入力'!$D$16:$I$345,6,FALSE)))</f>
        <v>W</v>
      </c>
      <c r="H10" s="320" t="str">
        <f>IF(ISERROR(VLOOKUP(H$6&amp;$C10,'◆（運営）③結果入力'!$D$16:$I$345,6,FALSE)),IF(VLOOKUP(H$6&amp;$C10,'◆（運営）③結果入力'!$E$16:$J$345,6,FALSE)="","",VLOOKUP(H$6&amp;$C10,'◆（運営）③結果入力'!$E$16:$J$345,6,FALSE)),IF(VLOOKUP(H$6&amp;$C10,'◆（運営）③結果入力'!$D$16:$I$345,6,FALSE)="","",VLOOKUP(H$6&amp;$C10,'◆（運営）③結果入力'!$D$16:$I$345,6,FALSE)))</f>
        <v>W</v>
      </c>
      <c r="I10" s="383"/>
      <c r="J10" s="320" t="str">
        <f>IF(ISERROR(VLOOKUP(J$6&amp;$C10,'◆（運営）③結果入力'!$D$16:$I$345,6,FALSE)),IF(VLOOKUP(J$6&amp;$C10,'◆（運営）③結果入力'!$E$16:$J$345,6,FALSE)="","",VLOOKUP(J$6&amp;$C10,'◆（運営）③結果入力'!$E$16:$J$345,6,FALSE)),IF(VLOOKUP(J$6&amp;$C10,'◆（運営）③結果入力'!$D$16:$I$345,6,FALSE)="","",VLOOKUP(J$6&amp;$C10,'◆（運営）③結果入力'!$D$16:$I$345,6,FALSE)))</f>
        <v>W</v>
      </c>
      <c r="K10" s="320" t="str">
        <f>IF(ISERROR(VLOOKUP(K$6&amp;$C10,'◆（運営）③結果入力'!$D$16:$I$345,6,FALSE)),IF(VLOOKUP(K$6&amp;$C10,'◆（運営）③結果入力'!$E$16:$J$345,6,FALSE)="","",VLOOKUP(K$6&amp;$C10,'◆（運営）③結果入力'!$E$16:$J$345,6,FALSE)),IF(VLOOKUP(K$6&amp;$C10,'◆（運営）③結果入力'!$D$16:$I$345,6,FALSE)="","",VLOOKUP(K$6&amp;$C10,'◆（運営）③結果入力'!$D$16:$I$345,6,FALSE)))</f>
        <v>W</v>
      </c>
      <c r="L10" s="320" t="str">
        <f>IF(ISERROR(VLOOKUP(L$6&amp;$C10,'◆（運営）③結果入力'!$D$16:$I$345,6,FALSE)),IF(VLOOKUP(L$6&amp;$C10,'◆（運営）③結果入力'!$E$16:$J$345,6,FALSE)="","",VLOOKUP(L$6&amp;$C10,'◆（運営）③結果入力'!$E$16:$J$345,6,FALSE)),IF(VLOOKUP(L$6&amp;$C10,'◆（運営）③結果入力'!$D$16:$I$345,6,FALSE)="","",VLOOKUP(L$6&amp;$C10,'◆（運営）③結果入力'!$D$16:$I$345,6,FALSE)))</f>
        <v>W</v>
      </c>
      <c r="M10" s="320" t="str">
        <f>IF(ISERROR(VLOOKUP(M$6&amp;$C10,'◆（運営）③結果入力'!$D$16:$I$345,6,FALSE)),IF(VLOOKUP(M$6&amp;$C10,'◆（運営）③結果入力'!$E$16:$J$345,6,FALSE)="","",VLOOKUP(M$6&amp;$C10,'◆（運営）③結果入力'!$E$16:$J$345,6,FALSE)),IF(VLOOKUP(M$6&amp;$C10,'◆（運営）③結果入力'!$D$16:$I$345,6,FALSE)="","",VLOOKUP(M$6&amp;$C10,'◆（運営）③結果入力'!$D$16:$I$345,6,FALSE)))</f>
        <v>W</v>
      </c>
      <c r="N10" s="320">
        <f>IF(ISERROR(VLOOKUP(N$6&amp;$C10,'◆（運営）③結果入力'!$D$16:$I$345,6,FALSE)),IF(VLOOKUP(N$6&amp;$C10,'◆（運営）③結果入力'!$E$16:$J$345,6,FALSE)="","",VLOOKUP(N$6&amp;$C10,'◆（運営）③結果入力'!$E$16:$J$345,6,FALSE)),IF(VLOOKUP(N$6&amp;$C10,'◆（運営）③結果入力'!$D$16:$I$345,6,FALSE)="","",VLOOKUP(N$6&amp;$C10,'◆（運営）③結果入力'!$D$16:$I$345,6,FALSE)))</f>
        <v>110</v>
      </c>
      <c r="O10" s="320" t="str">
        <f>IF(O6="","",IF(ISERROR(VLOOKUP(O$6&amp;$C10,'◆（運営）③結果入力'!$D$16:$I$345,6,FALSE)),IF(VLOOKUP(O$6&amp;$C10,'◆（運営）③結果入力'!$E$16:$J$345,6,FALSE)="","",VLOOKUP(O$6&amp;$C10,'◆（運営）③結果入力'!$E$16:$J$345,6,FALSE)),IF(VLOOKUP(O$6&amp;$C10,'◆（運営）③結果入力'!$D$16:$I$345,6,FALSE)="","",VLOOKUP(O$6&amp;$C10,'◆（運営）③結果入力'!$D$16:$I$345,6,FALSE))))</f>
        <v>W</v>
      </c>
      <c r="P10" s="340">
        <f t="shared" si="0"/>
        <v>7</v>
      </c>
      <c r="Q10" s="200">
        <f t="shared" si="1"/>
        <v>2</v>
      </c>
      <c r="R10" s="341">
        <f t="shared" si="2"/>
        <v>958</v>
      </c>
      <c r="S10" s="341">
        <f>IF(COUNTBLANK(F10:O10)=10,"",SUM(I7:I16)+(Q10*120))</f>
        <v>467</v>
      </c>
      <c r="T10" s="303">
        <f t="shared" si="3"/>
        <v>1</v>
      </c>
      <c r="U10" s="276">
        <f t="shared" si="4"/>
        <v>9</v>
      </c>
      <c r="V10" s="276">
        <f t="shared" si="5"/>
        <v>0</v>
      </c>
      <c r="W10" s="276">
        <f t="shared" si="6"/>
        <v>709579533</v>
      </c>
      <c r="X10" s="276">
        <f>IF(W10=0,"",IF(W10=MAX($W$10,$W$23,$W$36,$W$49,$W$62),1,""))</f>
      </c>
      <c r="Y10" s="276" t="str">
        <f t="shared" si="7"/>
        <v>大阪A</v>
      </c>
      <c r="Z10" s="276" t="str">
        <f t="shared" si="8"/>
        <v>村上 泰辰</v>
      </c>
      <c r="AA10" s="342">
        <f>IF(ISERROR(VLOOKUP(F$6&amp;$C10,'◆（運営）③結果入力'!$D$16:$K$345,5,FALSE)),IF(VLOOKUP(F$6&amp;$C10,'◆（運営）③結果入力'!$E$16:$K$345,7,FALSE)="","",VLOOKUP(F$6&amp;$C10,'◆（運営）③結果入力'!$E$16:$K$345,7,FALSE)),IF(VLOOKUP(F$6&amp;$C10,'◆（運営）③結果入力'!$D$16:$K$345,5,FALSE)="","",VLOOKUP(F$6&amp;$C10,'◆（運営）③結果入力'!$D$16:$K$345,5,FALSE)))</f>
      </c>
      <c r="AB10" s="343">
        <f>IF(ISERROR(VLOOKUP(G$6&amp;$C10,'◆（運営）③結果入力'!$D$16:$K$345,5,FALSE)),IF(VLOOKUP(G$6&amp;$C10,'◆（運営）③結果入力'!$E$16:$K$345,7,FALSE)="","",VLOOKUP(G$6&amp;$C10,'◆（運営）③結果入力'!$E$16:$K$345,7,FALSE)),IF(VLOOKUP(G$6&amp;$C10,'◆（運営）③結果入力'!$D$16:$K$345,5,FALSE)="","",VLOOKUP(G$6&amp;$C10,'◆（運営）③結果入力'!$D$16:$K$345,5,FALSE)))</f>
        <v>119</v>
      </c>
      <c r="AC10" s="343" t="str">
        <f>IF(ISERROR(VLOOKUP(H$6&amp;$C10,'◆（運営）③結果入力'!$D$16:$K$345,5,FALSE)),IF(VLOOKUP(H$6&amp;$C10,'◆（運営）③結果入力'!$E$16:$K$345,7,FALSE)="","",VLOOKUP(H$6&amp;$C10,'◆（運営）③結果入力'!$E$16:$K$345,7,FALSE)),IF(VLOOKUP(H$6&amp;$C10,'◆（運営）③結果入力'!$D$16:$K$345,5,FALSE)="","",VLOOKUP(H$6&amp;$C10,'◆（運営）③結果入力'!$D$16:$K$345,5,FALSE)))</f>
        <v>B120</v>
      </c>
      <c r="AD10" s="386"/>
      <c r="AE10" s="343">
        <f>IF(ISERROR(VLOOKUP(J$6&amp;$C10,'◆（運営）③結果入力'!$D$16:$K$345,5,FALSE)),IF(VLOOKUP(J$6&amp;$C10,'◆（運営）③結果入力'!$E$16:$K$345,7,FALSE)="","",VLOOKUP(J$6&amp;$C10,'◆（運営）③結果入力'!$E$16:$K$345,7,FALSE)),IF(VLOOKUP(J$6&amp;$C10,'◆（運営）③結果入力'!$D$16:$K$345,5,FALSE)="","",VLOOKUP(J$6&amp;$C10,'◆（運営）③結果入力'!$D$16:$K$345,5,FALSE)))</f>
        <v>117</v>
      </c>
      <c r="AF10" s="343">
        <f>IF(ISERROR(VLOOKUP(K$6&amp;$C10,'◆（運営）③結果入力'!$D$16:$K$345,5,FALSE)),IF(VLOOKUP(K$6&amp;$C10,'◆（運営）③結果入力'!$E$16:$K$345,7,FALSE)="","",VLOOKUP(K$6&amp;$C10,'◆（運営）③結果入力'!$E$16:$K$345,7,FALSE)),IF(VLOOKUP(K$6&amp;$C10,'◆（運営）③結果入力'!$D$16:$K$345,5,FALSE)="","",VLOOKUP(K$6&amp;$C10,'◆（運営）③結果入力'!$D$16:$K$345,5,FALSE)))</f>
      </c>
      <c r="AG10" s="343">
        <f>IF(ISERROR(VLOOKUP(L$6&amp;$C10,'◆（運営）③結果入力'!$D$16:$K$345,5,FALSE)),IF(VLOOKUP(L$6&amp;$C10,'◆（運営）③結果入力'!$E$16:$K$345,7,FALSE)="","",VLOOKUP(L$6&amp;$C10,'◆（運営）③結果入力'!$E$16:$K$345,7,FALSE)),IF(VLOOKUP(L$6&amp;$C10,'◆（運営）③結果入力'!$D$16:$K$345,5,FALSE)="","",VLOOKUP(L$6&amp;$C10,'◆（運営）③結果入力'!$D$16:$K$345,5,FALSE)))</f>
      </c>
      <c r="AH10" s="343">
        <f>IF(ISERROR(VLOOKUP(M$6&amp;$C10,'◆（運営）③結果入力'!$D$16:$K$345,5,FALSE)),IF(VLOOKUP(M$6&amp;$C10,'◆（運営）③結果入力'!$E$16:$K$345,7,FALSE)="","",VLOOKUP(M$6&amp;$C10,'◆（運営）③結果入力'!$E$16:$K$345,7,FALSE)),IF(VLOOKUP(M$6&amp;$C10,'◆（運営）③結果入力'!$D$16:$K$345,5,FALSE)="","",VLOOKUP(M$6&amp;$C10,'◆（運営）③結果入力'!$D$16:$K$345,5,FALSE)))</f>
      </c>
      <c r="AI10" s="343">
        <f>IF(ISERROR(VLOOKUP(N$6&amp;$C10,'◆（運営）③結果入力'!$D$16:$K$345,5,FALSE)),IF(VLOOKUP(N$6&amp;$C10,'◆（運営）③結果入力'!$E$16:$K$345,7,FALSE)="","",VLOOKUP(N$6&amp;$C10,'◆（運営）③結果入力'!$E$16:$K$345,7,FALSE)),IF(VLOOKUP(N$6&amp;$C10,'◆（運営）③結果入力'!$D$16:$K$345,5,FALSE)="","",VLOOKUP(N$6&amp;$C10,'◆（運営）③結果入力'!$D$16:$K$345,5,FALSE)))</f>
        <v>110</v>
      </c>
      <c r="AJ10" s="343">
        <f>IF(O6="","",IF(ISERROR(VLOOKUP(O$6&amp;$C10,'◆（運営）③結果入力'!$D$16:$K$345,5,FALSE)),IF(VLOOKUP(O$6&amp;$C10,'◆（運営）③結果入力'!$E$16:$K$345,7,FALSE)="","",VLOOKUP(O$6&amp;$C10,'◆（運営）③結果入力'!$E$16:$K$345,7,FALSE)),IF(VLOOKUP(O$6&amp;$C10,'◆（運営）③結果入力'!$D$16:$K$345,5,FALSE)="","",VLOOKUP(O$6&amp;$C10,'◆（運営）③結果入力'!$D$16:$K$345,5,FALSE))))</f>
      </c>
      <c r="AK10" s="343"/>
      <c r="AL10" s="344"/>
      <c r="AM10" s="345" t="str">
        <f t="shared" si="9"/>
        <v>B120</v>
      </c>
      <c r="AO10" s="335">
        <f t="shared" si="10"/>
        <v>0</v>
      </c>
      <c r="AP10" s="335">
        <f t="shared" si="11"/>
        <v>1</v>
      </c>
      <c r="AQ10" s="335">
        <f t="shared" si="12"/>
        <v>346</v>
      </c>
      <c r="AR10" s="335">
        <f t="shared" si="13"/>
        <v>10346</v>
      </c>
      <c r="AS10" s="335">
        <f t="shared" si="14"/>
        <v>2</v>
      </c>
    </row>
    <row r="11" spans="1:45" ht="12" customHeight="1">
      <c r="A11" s="274">
        <v>5</v>
      </c>
      <c r="B11" s="315" t="str">
        <f>'ブロック表'!C8</f>
        <v>和歌山</v>
      </c>
      <c r="C11" s="316" t="str">
        <f>IF(B11="","",VLOOKUP(B11,'ブロック表'!$C$4:$N$15,3,FALSE))</f>
        <v>岸上 賢一</v>
      </c>
      <c r="D11" s="317"/>
      <c r="E11" s="318"/>
      <c r="F11" s="319">
        <f>IF(ISERROR(VLOOKUP(F$6&amp;$C11,'◆（運営）③結果入力'!$D$16:$I$345,6,FALSE)),IF(VLOOKUP(F$6&amp;$C11,'◆（運営）③結果入力'!$E$16:$J$345,6,FALSE)="","",VLOOKUP(F$6&amp;$C11,'◆（運営）③結果入力'!$E$16:$J$345,6,FALSE)),IF(VLOOKUP(F$6&amp;$C11,'◆（運営）③結果入力'!$D$16:$I$345,6,FALSE)="","",VLOOKUP(F$6&amp;$C11,'◆（運営）③結果入力'!$D$16:$I$345,6,FALSE)))</f>
        <v>43</v>
      </c>
      <c r="G11" s="320">
        <f>IF(ISERROR(VLOOKUP(G$6&amp;$C11,'◆（運営）③結果入力'!$D$16:$I$345,6,FALSE)),IF(VLOOKUP(G$6&amp;$C11,'◆（運営）③結果入力'!$E$16:$J$345,6,FALSE)="","",VLOOKUP(G$6&amp;$C11,'◆（運営）③結果入力'!$E$16:$J$345,6,FALSE)),IF(VLOOKUP(G$6&amp;$C11,'◆（運営）③結果入力'!$D$16:$I$345,6,FALSE)="","",VLOOKUP(G$6&amp;$C11,'◆（運営）③結果入力'!$D$16:$I$345,6,FALSE)))</f>
        <v>89</v>
      </c>
      <c r="H11" s="320">
        <f>IF(ISERROR(VLOOKUP(H$6&amp;$C11,'◆（運営）③結果入力'!$D$16:$I$345,6,FALSE)),IF(VLOOKUP(H$6&amp;$C11,'◆（運営）③結果入力'!$E$16:$J$345,6,FALSE)="","",VLOOKUP(H$6&amp;$C11,'◆（運営）③結果入力'!$E$16:$J$345,6,FALSE)),IF(VLOOKUP(H$6&amp;$C11,'◆（運営）③結果入力'!$D$16:$I$345,6,FALSE)="","",VLOOKUP(H$6&amp;$C11,'◆（運営）③結果入力'!$D$16:$I$345,6,FALSE)))</f>
        <v>24</v>
      </c>
      <c r="I11" s="320">
        <f>IF(ISERROR(VLOOKUP(I$6&amp;$C11,'◆（運営）③結果入力'!$D$16:$I$345,6,FALSE)),IF(VLOOKUP(I$6&amp;$C11,'◆（運営）③結果入力'!$E$16:$J$345,6,FALSE)="","",VLOOKUP(I$6&amp;$C11,'◆（運営）③結果入力'!$E$16:$J$345,6,FALSE)),IF(VLOOKUP(I$6&amp;$C11,'◆（運営）③結果入力'!$D$16:$I$345,6,FALSE)="","",VLOOKUP(I$6&amp;$C11,'◆（運営）③結果入力'!$D$16:$I$345,6,FALSE)))</f>
        <v>58</v>
      </c>
      <c r="J11" s="383"/>
      <c r="K11" s="320" t="str">
        <f>IF(ISERROR(VLOOKUP(K$6&amp;$C11,'◆（運営）③結果入力'!$D$16:$I$345,6,FALSE)),IF(VLOOKUP(K$6&amp;$C11,'◆（運営）③結果入力'!$E$16:$J$345,6,FALSE)="","",VLOOKUP(K$6&amp;$C11,'◆（運営）③結果入力'!$E$16:$J$345,6,FALSE)),IF(VLOOKUP(K$6&amp;$C11,'◆（運営）③結果入力'!$D$16:$I$345,6,FALSE)="","",VLOOKUP(K$6&amp;$C11,'◆（運営）③結果入力'!$D$16:$I$345,6,FALSE)))</f>
        <v>W</v>
      </c>
      <c r="L11" s="320" t="str">
        <f>IF(ISERROR(VLOOKUP(L$6&amp;$C11,'◆（運営）③結果入力'!$D$16:$I$345,6,FALSE)),IF(VLOOKUP(L$6&amp;$C11,'◆（運営）③結果入力'!$E$16:$J$345,6,FALSE)="","",VLOOKUP(L$6&amp;$C11,'◆（運営）③結果入力'!$E$16:$J$345,6,FALSE)),IF(VLOOKUP(L$6&amp;$C11,'◆（運営）③結果入力'!$D$16:$I$345,6,FALSE)="","",VLOOKUP(L$6&amp;$C11,'◆（運営）③結果入力'!$D$16:$I$345,6,FALSE)))</f>
        <v>W</v>
      </c>
      <c r="M11" s="320">
        <f>IF(ISERROR(VLOOKUP(M$6&amp;$C11,'◆（運営）③結果入力'!$D$16:$I$345,6,FALSE)),IF(VLOOKUP(M$6&amp;$C11,'◆（運営）③結果入力'!$E$16:$J$345,6,FALSE)="","",VLOOKUP(M$6&amp;$C11,'◆（運営）③結果入力'!$E$16:$J$345,6,FALSE)),IF(VLOOKUP(M$6&amp;$C11,'◆（運営）③結果入力'!$D$16:$I$345,6,FALSE)="","",VLOOKUP(M$6&amp;$C11,'◆（運営）③結果入力'!$D$16:$I$345,6,FALSE)))</f>
        <v>66</v>
      </c>
      <c r="N11" s="320" t="str">
        <f>IF(ISERROR(VLOOKUP(N$6&amp;$C11,'◆（運営）③結果入力'!$D$16:$I$345,6,FALSE)),IF(VLOOKUP(N$6&amp;$C11,'◆（運営）③結果入力'!$E$16:$J$345,6,FALSE)="","",VLOOKUP(N$6&amp;$C11,'◆（運営）③結果入力'!$E$16:$J$345,6,FALSE)),IF(VLOOKUP(N$6&amp;$C11,'◆（運営）③結果入力'!$D$16:$I$345,6,FALSE)="","",VLOOKUP(N$6&amp;$C11,'◆（運営）③結果入力'!$D$16:$I$345,6,FALSE)))</f>
        <v>W</v>
      </c>
      <c r="O11" s="320">
        <f>IF(O6="","",IF(ISERROR(VLOOKUP(O$6&amp;$C11,'◆（運営）③結果入力'!$D$16:$I$345,6,FALSE)),IF(VLOOKUP(O$6&amp;$C11,'◆（運営）③結果入力'!$E$16:$J$345,6,FALSE)="","",VLOOKUP(O$6&amp;$C11,'◆（運営）③結果入力'!$E$16:$J$345,6,FALSE)),IF(VLOOKUP(O$6&amp;$C11,'◆（運営）③結果入力'!$D$16:$I$345,6,FALSE)="","",VLOOKUP(O$6&amp;$C11,'◆（運営）③結果入力'!$D$16:$I$345,6,FALSE))))</f>
        <v>65</v>
      </c>
      <c r="P11" s="340">
        <f t="shared" si="0"/>
        <v>3</v>
      </c>
      <c r="Q11" s="200">
        <f t="shared" si="1"/>
        <v>6</v>
      </c>
      <c r="R11" s="341">
        <f t="shared" si="2"/>
        <v>705</v>
      </c>
      <c r="S11" s="341">
        <f>IF(COUNTBLANK(F11:O11)=10,"",SUM(J7:J16)+(Q11*120))</f>
        <v>1021</v>
      </c>
      <c r="T11" s="303">
        <f t="shared" si="3"/>
        <v>8</v>
      </c>
      <c r="U11" s="276">
        <f t="shared" si="4"/>
        <v>9</v>
      </c>
      <c r="V11" s="276">
        <f t="shared" si="5"/>
        <v>0</v>
      </c>
      <c r="W11" s="276">
        <f t="shared" si="6"/>
        <v>307048979</v>
      </c>
      <c r="X11" s="276">
        <f>IF(W11=0,"",IF(W11=MAX($W$11,$W$24,$W$37,$W$50,$W$63),1,""))</f>
      </c>
      <c r="Y11" s="276" t="str">
        <f t="shared" si="7"/>
        <v>和歌山</v>
      </c>
      <c r="Z11" s="276" t="str">
        <f t="shared" si="8"/>
        <v>岸上 賢一</v>
      </c>
      <c r="AA11" s="342">
        <f>IF(ISERROR(VLOOKUP(F$6&amp;$C11,'◆（運営）③結果入力'!$D$16:$K$345,5,FALSE)),IF(VLOOKUP(F$6&amp;$C11,'◆（運営）③結果入力'!$E$16:$K$345,7,FALSE)="","",VLOOKUP(F$6&amp;$C11,'◆（運営）③結果入力'!$E$16:$K$345,7,FALSE)),IF(VLOOKUP(F$6&amp;$C11,'◆（運営）③結果入力'!$D$16:$K$345,5,FALSE)="","",VLOOKUP(F$6&amp;$C11,'◆（運営）③結果入力'!$D$16:$K$345,5,FALSE)))</f>
      </c>
      <c r="AB11" s="343">
        <f>IF(ISERROR(VLOOKUP(G$6&amp;$C11,'◆（運営）③結果入力'!$D$16:$K$345,5,FALSE)),IF(VLOOKUP(G$6&amp;$C11,'◆（運営）③結果入力'!$E$16:$K$345,7,FALSE)="","",VLOOKUP(G$6&amp;$C11,'◆（運営）③結果入力'!$E$16:$K$345,7,FALSE)),IF(VLOOKUP(G$6&amp;$C11,'◆（運営）③結果入力'!$D$16:$K$345,5,FALSE)="","",VLOOKUP(G$6&amp;$C11,'◆（運営）③結果入力'!$D$16:$K$345,5,FALSE)))</f>
      </c>
      <c r="AC11" s="343">
        <f>IF(ISERROR(VLOOKUP(H$6&amp;$C11,'◆（運営）③結果入力'!$D$16:$K$345,5,FALSE)),IF(VLOOKUP(H$6&amp;$C11,'◆（運営）③結果入力'!$E$16:$K$345,7,FALSE)="","",VLOOKUP(H$6&amp;$C11,'◆（運営）③結果入力'!$E$16:$K$345,7,FALSE)),IF(VLOOKUP(H$6&amp;$C11,'◆（運営）③結果入力'!$D$16:$K$345,5,FALSE)="","",VLOOKUP(H$6&amp;$C11,'◆（運営）③結果入力'!$D$16:$K$345,5,FALSE)))</f>
      </c>
      <c r="AD11" s="343">
        <f>IF(ISERROR(VLOOKUP(I$6&amp;$C11,'◆（運営）③結果入力'!$D$16:$K$345,5,FALSE)),IF(VLOOKUP(I$6&amp;$C11,'◆（運営）③結果入力'!$E$16:$K$345,7,FALSE)="","",VLOOKUP(I$6&amp;$C11,'◆（運営）③結果入力'!$E$16:$K$345,7,FALSE)),IF(VLOOKUP(I$6&amp;$C11,'◆（運営）③結果入力'!$D$16:$K$345,5,FALSE)="","",VLOOKUP(I$6&amp;$C11,'◆（運営）③結果入力'!$D$16:$K$345,5,FALSE)))</f>
      </c>
      <c r="AE11" s="386"/>
      <c r="AF11" s="343">
        <f>IF(ISERROR(VLOOKUP(K$6&amp;$C11,'◆（運営）③結果入力'!$D$16:$K$345,5,FALSE)),IF(VLOOKUP(K$6&amp;$C11,'◆（運営）③結果入力'!$E$16:$K$345,7,FALSE)="","",VLOOKUP(K$6&amp;$C11,'◆（運営）③結果入力'!$E$16:$K$345,7,FALSE)),IF(VLOOKUP(K$6&amp;$C11,'◆（運営）③結果入力'!$D$16:$K$345,5,FALSE)="","",VLOOKUP(K$6&amp;$C11,'◆（運営）③結果入力'!$D$16:$K$345,5,FALSE)))</f>
      </c>
      <c r="AG11" s="343">
        <f>IF(ISERROR(VLOOKUP(L$6&amp;$C11,'◆（運営）③結果入力'!$D$16:$K$345,5,FALSE)),IF(VLOOKUP(L$6&amp;$C11,'◆（運営）③結果入力'!$E$16:$K$345,7,FALSE)="","",VLOOKUP(L$6&amp;$C11,'◆（運営）③結果入力'!$E$16:$K$345,7,FALSE)),IF(VLOOKUP(L$6&amp;$C11,'◆（運営）③結果入力'!$D$16:$K$345,5,FALSE)="","",VLOOKUP(L$6&amp;$C11,'◆（運営）③結果入力'!$D$16:$K$345,5,FALSE)))</f>
      </c>
      <c r="AH11" s="343">
        <f>IF(ISERROR(VLOOKUP(M$6&amp;$C11,'◆（運営）③結果入力'!$D$16:$K$345,5,FALSE)),IF(VLOOKUP(M$6&amp;$C11,'◆（運営）③結果入力'!$E$16:$K$345,7,FALSE)="","",VLOOKUP(M$6&amp;$C11,'◆（運営）③結果入力'!$E$16:$K$345,7,FALSE)),IF(VLOOKUP(M$6&amp;$C11,'◆（運営）③結果入力'!$D$16:$K$345,5,FALSE)="","",VLOOKUP(M$6&amp;$C11,'◆（運営）③結果入力'!$D$16:$K$345,5,FALSE)))</f>
      </c>
      <c r="AI11" s="343">
        <f>IF(ISERROR(VLOOKUP(N$6&amp;$C11,'◆（運営）③結果入力'!$D$16:$K$345,5,FALSE)),IF(VLOOKUP(N$6&amp;$C11,'◆（運営）③結果入力'!$E$16:$K$345,7,FALSE)="","",VLOOKUP(N$6&amp;$C11,'◆（運営）③結果入力'!$E$16:$K$345,7,FALSE)),IF(VLOOKUP(N$6&amp;$C11,'◆（運営）③結果入力'!$D$16:$K$345,5,FALSE)="","",VLOOKUP(N$6&amp;$C11,'◆（運営）③結果入力'!$D$16:$K$345,5,FALSE)))</f>
      </c>
      <c r="AJ11" s="343">
        <f>IF(O6="","",IF(ISERROR(VLOOKUP(O$6&amp;$C11,'◆（運営）③結果入力'!$D$16:$K$345,5,FALSE)),IF(VLOOKUP(O$6&amp;$C11,'◆（運営）③結果入力'!$E$16:$K$345,7,FALSE)="","",VLOOKUP(O$6&amp;$C11,'◆（運営）③結果入力'!$E$16:$K$345,7,FALSE)),IF(VLOOKUP(O$6&amp;$C11,'◆（運営）③結果入力'!$D$16:$K$345,5,FALSE)="","",VLOOKUP(O$6&amp;$C11,'◆（運営）③結果入力'!$D$16:$K$345,5,FALSE))))</f>
      </c>
      <c r="AK11" s="343"/>
      <c r="AL11" s="344"/>
      <c r="AM11" s="345">
        <f t="shared" si="9"/>
      </c>
      <c r="AO11" s="335">
        <f t="shared" si="10"/>
        <v>0</v>
      </c>
      <c r="AP11" s="335">
        <f t="shared" si="11"/>
        <v>0</v>
      </c>
      <c r="AQ11" s="335">
        <f t="shared" si="12"/>
        <v>0</v>
      </c>
      <c r="AR11" s="335">
        <f t="shared" si="13"/>
        <v>0</v>
      </c>
      <c r="AS11" s="335">
        <f t="shared" si="14"/>
        <v>17</v>
      </c>
    </row>
    <row r="12" spans="1:45" ht="12" customHeight="1">
      <c r="A12" s="274">
        <v>6</v>
      </c>
      <c r="B12" s="315" t="str">
        <f>'ブロック表'!C9</f>
        <v>滋賀</v>
      </c>
      <c r="C12" s="316" t="str">
        <f>IF(B12="","",VLOOKUP(B12,'ブロック表'!$C$4:$N$15,3,FALSE))</f>
        <v>酒井 美希</v>
      </c>
      <c r="D12" s="317"/>
      <c r="E12" s="318"/>
      <c r="F12" s="319">
        <f>IF(ISERROR(VLOOKUP(F$6&amp;$C12,'◆（運営）③結果入力'!$D$16:$I$345,6,FALSE)),IF(VLOOKUP(F$6&amp;$C12,'◆（運営）③結果入力'!$E$16:$J$345,6,FALSE)="","",VLOOKUP(F$6&amp;$C12,'◆（運営）③結果入力'!$E$16:$J$345,6,FALSE)),IF(VLOOKUP(F$6&amp;$C12,'◆（運営）③結果入力'!$D$16:$I$345,6,FALSE)="","",VLOOKUP(F$6&amp;$C12,'◆（運営）③結果入力'!$D$16:$I$345,6,FALSE)))</f>
        <v>6</v>
      </c>
      <c r="G12" s="320" t="str">
        <f>IF(ISERROR(VLOOKUP(G$6&amp;$C12,'◆（運営）③結果入力'!$D$16:$I$345,6,FALSE)),IF(VLOOKUP(G$6&amp;$C12,'◆（運営）③結果入力'!$E$16:$J$345,6,FALSE)="","",VLOOKUP(G$6&amp;$C12,'◆（運営）③結果入力'!$E$16:$J$345,6,FALSE)),IF(VLOOKUP(G$6&amp;$C12,'◆（運営）③結果入力'!$D$16:$I$345,6,FALSE)="","",VLOOKUP(G$6&amp;$C12,'◆（運営）③結果入力'!$D$16:$I$345,6,FALSE)))</f>
        <v>W</v>
      </c>
      <c r="H12" s="320">
        <f>IF(ISERROR(VLOOKUP(H$6&amp;$C12,'◆（運営）③結果入力'!$D$16:$I$345,6,FALSE)),IF(VLOOKUP(H$6&amp;$C12,'◆（運営）③結果入力'!$E$16:$J$345,6,FALSE)="","",VLOOKUP(H$6&amp;$C12,'◆（運営）③結果入力'!$E$16:$J$345,6,FALSE)),IF(VLOOKUP(H$6&amp;$C12,'◆（運営）③結果入力'!$D$16:$I$345,6,FALSE)="","",VLOOKUP(H$6&amp;$C12,'◆（運営）③結果入力'!$D$16:$I$345,6,FALSE)))</f>
        <v>48</v>
      </c>
      <c r="I12" s="320">
        <f>IF(ISERROR(VLOOKUP(I$6&amp;$C12,'◆（運営）③結果入力'!$D$16:$I$345,6,FALSE)),IF(VLOOKUP(I$6&amp;$C12,'◆（運営）③結果入力'!$E$16:$J$345,6,FALSE)="","",VLOOKUP(I$6&amp;$C12,'◆（運営）③結果入力'!$E$16:$J$345,6,FALSE)),IF(VLOOKUP(I$6&amp;$C12,'◆（運営）③結果入力'!$D$16:$I$345,6,FALSE)="","",VLOOKUP(I$6&amp;$C12,'◆（運営）③結果入力'!$D$16:$I$345,6,FALSE)))</f>
        <v>40</v>
      </c>
      <c r="J12" s="320">
        <f>IF(ISERROR(VLOOKUP(J$6&amp;$C12,'◆（運営）③結果入力'!$D$16:$I$345,6,FALSE)),IF(VLOOKUP(J$6&amp;$C12,'◆（運営）③結果入力'!$E$16:$J$345,6,FALSE)="","",VLOOKUP(J$6&amp;$C12,'◆（運営）③結果入力'!$E$16:$J$345,6,FALSE)),IF(VLOOKUP(J$6&amp;$C12,'◆（運営）③結果入力'!$D$16:$I$345,6,FALSE)="","",VLOOKUP(J$6&amp;$C12,'◆（運営）③結果入力'!$D$16:$I$345,6,FALSE)))</f>
        <v>107</v>
      </c>
      <c r="K12" s="383"/>
      <c r="L12" s="320">
        <f>IF(ISERROR(VLOOKUP(L$6&amp;$C12,'◆（運営）③結果入力'!$D$16:$I$345,6,FALSE)),IF(VLOOKUP(L$6&amp;$C12,'◆（運営）③結果入力'!$E$16:$J$345,6,FALSE)="","",VLOOKUP(L$6&amp;$C12,'◆（運営）③結果入力'!$E$16:$J$345,6,FALSE)),IF(VLOOKUP(L$6&amp;$C12,'◆（運営）③結果入力'!$D$16:$I$345,6,FALSE)="","",VLOOKUP(L$6&amp;$C12,'◆（運営）③結果入力'!$D$16:$I$345,6,FALSE)))</f>
        <v>92</v>
      </c>
      <c r="M12" s="320">
        <f>IF(ISERROR(VLOOKUP(M$6&amp;$C12,'◆（運営）③結果入力'!$D$16:$I$345,6,FALSE)),IF(VLOOKUP(M$6&amp;$C12,'◆（運営）③結果入力'!$E$16:$J$345,6,FALSE)="","",VLOOKUP(M$6&amp;$C12,'◆（運営）③結果入力'!$E$16:$J$345,6,FALSE)),IF(VLOOKUP(M$6&amp;$C12,'◆（運営）③結果入力'!$D$16:$I$345,6,FALSE)="","",VLOOKUP(M$6&amp;$C12,'◆（運営）③結果入力'!$D$16:$I$345,6,FALSE)))</f>
        <v>51</v>
      </c>
      <c r="N12" s="320">
        <f>IF(ISERROR(VLOOKUP(N$6&amp;$C12,'◆（運営）③結果入力'!$D$16:$I$345,6,FALSE)),IF(VLOOKUP(N$6&amp;$C12,'◆（運営）③結果入力'!$E$16:$J$345,6,FALSE)="","",VLOOKUP(N$6&amp;$C12,'◆（運営）③結果入力'!$E$16:$J$345,6,FALSE)),IF(VLOOKUP(N$6&amp;$C12,'◆（運営）③結果入力'!$D$16:$I$345,6,FALSE)="","",VLOOKUP(N$6&amp;$C12,'◆（運営）③結果入力'!$D$16:$I$345,6,FALSE)))</f>
        <v>23</v>
      </c>
      <c r="O12" s="320" t="str">
        <f>IF(O6="","",IF(ISERROR(VLOOKUP(O$6&amp;$C12,'◆（運営）③結果入力'!$D$16:$I$345,6,FALSE)),IF(VLOOKUP(O$6&amp;$C12,'◆（運営）③結果入力'!$E$16:$J$345,6,FALSE)="","",VLOOKUP(O$6&amp;$C12,'◆（運営）③結果入力'!$E$16:$J$345,6,FALSE)),IF(VLOOKUP(O$6&amp;$C12,'◆（運営）③結果入力'!$D$16:$I$345,6,FALSE)="","",VLOOKUP(O$6&amp;$C12,'◆（運営）③結果入力'!$D$16:$I$345,6,FALSE))))</f>
        <v>W</v>
      </c>
      <c r="P12" s="340">
        <f t="shared" si="0"/>
        <v>2</v>
      </c>
      <c r="Q12" s="200">
        <f t="shared" si="1"/>
        <v>7</v>
      </c>
      <c r="R12" s="341">
        <f t="shared" si="2"/>
        <v>607</v>
      </c>
      <c r="S12" s="341">
        <f>IF(COUNTBLANK(F12:O12)=10,"",SUM(K7:K16)+(Q12*120))</f>
        <v>991</v>
      </c>
      <c r="T12" s="303">
        <f t="shared" si="3"/>
        <v>9</v>
      </c>
      <c r="U12" s="276">
        <f t="shared" si="4"/>
        <v>9</v>
      </c>
      <c r="V12" s="276">
        <f t="shared" si="5"/>
        <v>0</v>
      </c>
      <c r="W12" s="276">
        <f t="shared" si="6"/>
        <v>206069009</v>
      </c>
      <c r="X12" s="276">
        <f>IF(W12=0,"",IF(W12=MAX($W$12,$W$25,$W$38,$W$51,$W$64),1,""))</f>
      </c>
      <c r="Y12" s="276" t="str">
        <f t="shared" si="7"/>
        <v>滋賀</v>
      </c>
      <c r="Z12" s="276" t="str">
        <f t="shared" si="8"/>
        <v>酒井 美希</v>
      </c>
      <c r="AA12" s="342">
        <f>IF(ISERROR(VLOOKUP(F$6&amp;$C12,'◆（運営）③結果入力'!$D$16:$K$345,5,FALSE)),IF(VLOOKUP(F$6&amp;$C12,'◆（運営）③結果入力'!$E$16:$K$345,7,FALSE)="","",VLOOKUP(F$6&amp;$C12,'◆（運営）③結果入力'!$E$16:$K$345,7,FALSE)),IF(VLOOKUP(F$6&amp;$C12,'◆（運営）③結果入力'!$D$16:$K$345,5,FALSE)="","",VLOOKUP(F$6&amp;$C12,'◆（運営）③結果入力'!$D$16:$K$345,5,FALSE)))</f>
      </c>
      <c r="AB12" s="343">
        <f>IF(ISERROR(VLOOKUP(G$6&amp;$C12,'◆（運営）③結果入力'!$D$16:$K$345,5,FALSE)),IF(VLOOKUP(G$6&amp;$C12,'◆（運営）③結果入力'!$E$16:$K$345,7,FALSE)="","",VLOOKUP(G$6&amp;$C12,'◆（運営）③結果入力'!$E$16:$K$345,7,FALSE)),IF(VLOOKUP(G$6&amp;$C12,'◆（運営）③結果入力'!$D$16:$K$345,5,FALSE)="","",VLOOKUP(G$6&amp;$C12,'◆（運営）③結果入力'!$D$16:$K$345,5,FALSE)))</f>
      </c>
      <c r="AC12" s="343">
        <f>IF(ISERROR(VLOOKUP(H$6&amp;$C12,'◆（運営）③結果入力'!$D$16:$K$345,5,FALSE)),IF(VLOOKUP(H$6&amp;$C12,'◆（運営）③結果入力'!$E$16:$K$345,7,FALSE)="","",VLOOKUP(H$6&amp;$C12,'◆（運営）③結果入力'!$E$16:$K$345,7,FALSE)),IF(VLOOKUP(H$6&amp;$C12,'◆（運営）③結果入力'!$D$16:$K$345,5,FALSE)="","",VLOOKUP(H$6&amp;$C12,'◆（運営）③結果入力'!$D$16:$K$345,5,FALSE)))</f>
      </c>
      <c r="AD12" s="343">
        <f>IF(ISERROR(VLOOKUP(I$6&amp;$C12,'◆（運営）③結果入力'!$D$16:$K$345,5,FALSE)),IF(VLOOKUP(I$6&amp;$C12,'◆（運営）③結果入力'!$E$16:$K$345,7,FALSE)="","",VLOOKUP(I$6&amp;$C12,'◆（運営）③結果入力'!$E$16:$K$345,7,FALSE)),IF(VLOOKUP(I$6&amp;$C12,'◆（運営）③結果入力'!$D$16:$K$345,5,FALSE)="","",VLOOKUP(I$6&amp;$C12,'◆（運営）③結果入力'!$D$16:$K$345,5,FALSE)))</f>
      </c>
      <c r="AE12" s="343">
        <f>IF(ISERROR(VLOOKUP(J$6&amp;$C12,'◆（運営）③結果入力'!$D$16:$K$345,5,FALSE)),IF(VLOOKUP(J$6&amp;$C12,'◆（運営）③結果入力'!$E$16:$K$345,7,FALSE)="","",VLOOKUP(J$6&amp;$C12,'◆（運営）③結果入力'!$E$16:$K$345,7,FALSE)),IF(VLOOKUP(J$6&amp;$C12,'◆（運営）③結果入力'!$D$16:$K$345,5,FALSE)="","",VLOOKUP(J$6&amp;$C12,'◆（運営）③結果入力'!$D$16:$K$345,5,FALSE)))</f>
      </c>
      <c r="AF12" s="386"/>
      <c r="AG12" s="343">
        <f>IF(ISERROR(VLOOKUP(L$6&amp;$C12,'◆（運営）③結果入力'!$D$16:$K$345,5,FALSE)),IF(VLOOKUP(L$6&amp;$C12,'◆（運営）③結果入力'!$E$16:$K$345,7,FALSE)="","",VLOOKUP(L$6&amp;$C12,'◆（運営）③結果入力'!$E$16:$K$345,7,FALSE)),IF(VLOOKUP(L$6&amp;$C12,'◆（運営）③結果入力'!$D$16:$K$345,5,FALSE)="","",VLOOKUP(L$6&amp;$C12,'◆（運営）③結果入力'!$D$16:$K$345,5,FALSE)))</f>
      </c>
      <c r="AH12" s="343">
        <f>IF(ISERROR(VLOOKUP(M$6&amp;$C12,'◆（運営）③結果入力'!$D$16:$K$345,5,FALSE)),IF(VLOOKUP(M$6&amp;$C12,'◆（運営）③結果入力'!$E$16:$K$345,7,FALSE)="","",VLOOKUP(M$6&amp;$C12,'◆（運営）③結果入力'!$E$16:$K$345,7,FALSE)),IF(VLOOKUP(M$6&amp;$C12,'◆（運営）③結果入力'!$D$16:$K$345,5,FALSE)="","",VLOOKUP(M$6&amp;$C12,'◆（運営）③結果入力'!$D$16:$K$345,5,FALSE)))</f>
      </c>
      <c r="AI12" s="343">
        <f>IF(ISERROR(VLOOKUP(N$6&amp;$C12,'◆（運営）③結果入力'!$D$16:$K$345,5,FALSE)),IF(VLOOKUP(N$6&amp;$C12,'◆（運営）③結果入力'!$E$16:$K$345,7,FALSE)="","",VLOOKUP(N$6&amp;$C12,'◆（運営）③結果入力'!$E$16:$K$345,7,FALSE)),IF(VLOOKUP(N$6&amp;$C12,'◆（運営）③結果入力'!$D$16:$K$345,5,FALSE)="","",VLOOKUP(N$6&amp;$C12,'◆（運営）③結果入力'!$D$16:$K$345,5,FALSE)))</f>
      </c>
      <c r="AJ12" s="343">
        <f>IF(O6="","",IF(ISERROR(VLOOKUP(O$6&amp;$C12,'◆（運営）③結果入力'!$D$16:$K$345,5,FALSE)),IF(VLOOKUP(O$6&amp;$C12,'◆（運営）③結果入力'!$E$16:$K$345,7,FALSE)="","",VLOOKUP(O$6&amp;$C12,'◆（運営）③結果入力'!$E$16:$K$345,7,FALSE)),IF(VLOOKUP(O$6&amp;$C12,'◆（運営）③結果入力'!$D$16:$K$345,5,FALSE)="","",VLOOKUP(O$6&amp;$C12,'◆（運営）③結果入力'!$D$16:$K$345,5,FALSE))))</f>
      </c>
      <c r="AK12" s="343"/>
      <c r="AL12" s="344"/>
      <c r="AM12" s="345">
        <f t="shared" si="9"/>
      </c>
      <c r="AO12" s="335">
        <f t="shared" si="10"/>
        <v>0</v>
      </c>
      <c r="AP12" s="335">
        <f t="shared" si="11"/>
        <v>0</v>
      </c>
      <c r="AQ12" s="335">
        <f t="shared" si="12"/>
        <v>0</v>
      </c>
      <c r="AR12" s="335">
        <f t="shared" si="13"/>
        <v>0</v>
      </c>
      <c r="AS12" s="335">
        <f t="shared" si="14"/>
        <v>17</v>
      </c>
    </row>
    <row r="13" spans="1:45" ht="12" customHeight="1">
      <c r="A13" s="274">
        <v>7</v>
      </c>
      <c r="B13" s="315" t="str">
        <f>'ブロック表'!C10</f>
        <v>奈良</v>
      </c>
      <c r="C13" s="316" t="str">
        <f>IF(B13="","",VLOOKUP(B13,'ブロック表'!$C$4:$N$15,3,FALSE))</f>
        <v>岩本 剛</v>
      </c>
      <c r="D13" s="317"/>
      <c r="E13" s="318"/>
      <c r="F13" s="319">
        <f>IF(ISERROR(VLOOKUP(F$6&amp;$C13,'◆（運営）③結果入力'!$D$16:$I$345,6,FALSE)),IF(VLOOKUP(F$6&amp;$C13,'◆（運営）③結果入力'!$E$16:$J$345,6,FALSE)="","",VLOOKUP(F$6&amp;$C13,'◆（運営）③結果入力'!$E$16:$J$345,6,FALSE)),IF(VLOOKUP(F$6&amp;$C13,'◆（運営）③結果入力'!$D$16:$I$345,6,FALSE)="","",VLOOKUP(F$6&amp;$C13,'◆（運営）③結果入力'!$D$16:$I$345,6,FALSE)))</f>
        <v>11</v>
      </c>
      <c r="G13" s="320">
        <f>IF(ISERROR(VLOOKUP(G$6&amp;$C13,'◆（運営）③結果入力'!$D$16:$I$345,6,FALSE)),IF(VLOOKUP(G$6&amp;$C13,'◆（運営）③結果入力'!$E$16:$J$345,6,FALSE)="","",VLOOKUP(G$6&amp;$C13,'◆（運営）③結果入力'!$E$16:$J$345,6,FALSE)),IF(VLOOKUP(G$6&amp;$C13,'◆（運営）③結果入力'!$D$16:$I$345,6,FALSE)="","",VLOOKUP(G$6&amp;$C13,'◆（運営）③結果入力'!$D$16:$I$345,6,FALSE)))</f>
        <v>27</v>
      </c>
      <c r="H13" s="320">
        <f>IF(ISERROR(VLOOKUP(H$6&amp;$C13,'◆（運営）③結果入力'!$D$16:$I$345,6,FALSE)),IF(VLOOKUP(H$6&amp;$C13,'◆（運営）③結果入力'!$E$16:$J$345,6,FALSE)="","",VLOOKUP(H$6&amp;$C13,'◆（運営）③結果入力'!$E$16:$J$345,6,FALSE)),IF(VLOOKUP(H$6&amp;$C13,'◆（運営）③結果入力'!$D$16:$I$345,6,FALSE)="","",VLOOKUP(H$6&amp;$C13,'◆（運営）③結果入力'!$D$16:$I$345,6,FALSE)))</f>
        <v>94</v>
      </c>
      <c r="I13" s="320">
        <f>IF(ISERROR(VLOOKUP(I$6&amp;$C13,'◆（運営）③結果入力'!$D$16:$I$345,6,FALSE)),IF(VLOOKUP(I$6&amp;$C13,'◆（運営）③結果入力'!$E$16:$J$345,6,FALSE)="","",VLOOKUP(I$6&amp;$C13,'◆（運営）③結果入力'!$E$16:$J$345,6,FALSE)),IF(VLOOKUP(I$6&amp;$C13,'◆（運営）③結果入力'!$D$16:$I$345,6,FALSE)="","",VLOOKUP(I$6&amp;$C13,'◆（運営）③結果入力'!$D$16:$I$345,6,FALSE)))</f>
        <v>5</v>
      </c>
      <c r="J13" s="320">
        <f>IF(ISERROR(VLOOKUP(J$6&amp;$C13,'◆（運営）③結果入力'!$D$16:$I$345,6,FALSE)),IF(VLOOKUP(J$6&amp;$C13,'◆（運営）③結果入力'!$E$16:$J$345,6,FALSE)="","",VLOOKUP(J$6&amp;$C13,'◆（運営）③結果入力'!$E$16:$J$345,6,FALSE)),IF(VLOOKUP(J$6&amp;$C13,'◆（運営）③結果入力'!$D$16:$I$345,6,FALSE)="","",VLOOKUP(J$6&amp;$C13,'◆（運営）③結果入力'!$D$16:$I$345,6,FALSE)))</f>
        <v>113</v>
      </c>
      <c r="K13" s="320" t="str">
        <f>IF(ISERROR(VLOOKUP(K$6&amp;$C13,'◆（運営）③結果入力'!$D$16:$I$345,6,FALSE)),IF(VLOOKUP(K$6&amp;$C13,'◆（運営）③結果入力'!$E$16:$J$345,6,FALSE)="","",VLOOKUP(K$6&amp;$C13,'◆（運営）③結果入力'!$E$16:$J$345,6,FALSE)),IF(VLOOKUP(K$6&amp;$C13,'◆（運営）③結果入力'!$D$16:$I$345,6,FALSE)="","",VLOOKUP(K$6&amp;$C13,'◆（運営）③結果入力'!$D$16:$I$345,6,FALSE)))</f>
        <v>W</v>
      </c>
      <c r="L13" s="383"/>
      <c r="M13" s="320">
        <f>IF(ISERROR(VLOOKUP(M$6&amp;$C13,'◆（運営）③結果入力'!$D$16:$I$345,6,FALSE)),IF(VLOOKUP(M$6&amp;$C13,'◆（運営）③結果入力'!$E$16:$J$345,6,FALSE)="","",VLOOKUP(M$6&amp;$C13,'◆（運営）③結果入力'!$E$16:$J$345,6,FALSE)),IF(VLOOKUP(M$6&amp;$C13,'◆（運営）③結果入力'!$D$16:$I$345,6,FALSE)="","",VLOOKUP(M$6&amp;$C13,'◆（運営）③結果入力'!$D$16:$I$345,6,FALSE)))</f>
        <v>67</v>
      </c>
      <c r="N13" s="320" t="str">
        <f>IF(ISERROR(VLOOKUP(N$6&amp;$C13,'◆（運営）③結果入力'!$D$16:$I$345,6,FALSE)),IF(VLOOKUP(N$6&amp;$C13,'◆（運営）③結果入力'!$E$16:$J$345,6,FALSE)="","",VLOOKUP(N$6&amp;$C13,'◆（運営）③結果入力'!$E$16:$J$345,6,FALSE)),IF(VLOOKUP(N$6&amp;$C13,'◆（運営）③結果入力'!$D$16:$I$345,6,FALSE)="","",VLOOKUP(N$6&amp;$C13,'◆（運営）③結果入力'!$D$16:$I$345,6,FALSE)))</f>
        <v>W</v>
      </c>
      <c r="O13" s="320">
        <f>IF(O6="","",IF(ISERROR(VLOOKUP(O$6&amp;$C13,'◆（運営）③結果入力'!$D$16:$I$345,6,FALSE)),IF(VLOOKUP(O$6&amp;$C13,'◆（運営）③結果入力'!$E$16:$J$345,6,FALSE)="","",VLOOKUP(O$6&amp;$C13,'◆（運営）③結果入力'!$E$16:$J$345,6,FALSE)),IF(VLOOKUP(O$6&amp;$C13,'◆（運営）③結果入力'!$D$16:$I$345,6,FALSE)="","",VLOOKUP(O$6&amp;$C13,'◆（運営）③結果入力'!$D$16:$I$345,6,FALSE))))</f>
        <v>23</v>
      </c>
      <c r="P13" s="340">
        <f t="shared" si="0"/>
        <v>2</v>
      </c>
      <c r="Q13" s="200">
        <f t="shared" si="1"/>
        <v>7</v>
      </c>
      <c r="R13" s="341">
        <f t="shared" si="2"/>
        <v>580</v>
      </c>
      <c r="S13" s="341">
        <f>IF(COUNTBLANK(F13:O13)=10,"",SUM(L7:L16)+(Q13*120))</f>
        <v>1005</v>
      </c>
      <c r="T13" s="303">
        <f t="shared" si="3"/>
        <v>10</v>
      </c>
      <c r="U13" s="276">
        <f t="shared" si="4"/>
        <v>9</v>
      </c>
      <c r="V13" s="276">
        <f t="shared" si="5"/>
        <v>0</v>
      </c>
      <c r="W13" s="276">
        <f t="shared" si="6"/>
        <v>205798995</v>
      </c>
      <c r="X13" s="276">
        <f>IF(W13=0,"",IF(W13=MAX($W$13,$W$26,$W$39,$W$52,$W$65),1,""))</f>
      </c>
      <c r="Y13" s="276" t="str">
        <f t="shared" si="7"/>
        <v>奈良</v>
      </c>
      <c r="Z13" s="276" t="str">
        <f t="shared" si="8"/>
        <v>岩本 剛</v>
      </c>
      <c r="AA13" s="342">
        <f>IF(ISERROR(VLOOKUP(F$6&amp;$C13,'◆（運営）③結果入力'!$D$16:$K$345,5,FALSE)),IF(VLOOKUP(F$6&amp;$C13,'◆（運営）③結果入力'!$E$16:$K$345,7,FALSE)="","",VLOOKUP(F$6&amp;$C13,'◆（運営）③結果入力'!$E$16:$K$345,7,FALSE)),IF(VLOOKUP(F$6&amp;$C13,'◆（運営）③結果入力'!$D$16:$K$345,5,FALSE)="","",VLOOKUP(F$6&amp;$C13,'◆（運営）③結果入力'!$D$16:$K$345,5,FALSE)))</f>
      </c>
      <c r="AB13" s="343">
        <f>IF(ISERROR(VLOOKUP(G$6&amp;$C13,'◆（運営）③結果入力'!$D$16:$K$345,5,FALSE)),IF(VLOOKUP(G$6&amp;$C13,'◆（運営）③結果入力'!$E$16:$K$345,7,FALSE)="","",VLOOKUP(G$6&amp;$C13,'◆（運営）③結果入力'!$E$16:$K$345,7,FALSE)),IF(VLOOKUP(G$6&amp;$C13,'◆（運営）③結果入力'!$D$16:$K$345,5,FALSE)="","",VLOOKUP(G$6&amp;$C13,'◆（運営）③結果入力'!$D$16:$K$345,5,FALSE)))</f>
      </c>
      <c r="AC13" s="343">
        <f>IF(ISERROR(VLOOKUP(H$6&amp;$C13,'◆（運営）③結果入力'!$D$16:$K$345,5,FALSE)),IF(VLOOKUP(H$6&amp;$C13,'◆（運営）③結果入力'!$E$16:$K$345,7,FALSE)="","",VLOOKUP(H$6&amp;$C13,'◆（運営）③結果入力'!$E$16:$K$345,7,FALSE)),IF(VLOOKUP(H$6&amp;$C13,'◆（運営）③結果入力'!$D$16:$K$345,5,FALSE)="","",VLOOKUP(H$6&amp;$C13,'◆（運営）③結果入力'!$D$16:$K$345,5,FALSE)))</f>
      </c>
      <c r="AD13" s="343">
        <f>IF(ISERROR(VLOOKUP(I$6&amp;$C13,'◆（運営）③結果入力'!$D$16:$K$345,5,FALSE)),IF(VLOOKUP(I$6&amp;$C13,'◆（運営）③結果入力'!$E$16:$K$345,7,FALSE)="","",VLOOKUP(I$6&amp;$C13,'◆（運営）③結果入力'!$E$16:$K$345,7,FALSE)),IF(VLOOKUP(I$6&amp;$C13,'◆（運営）③結果入力'!$D$16:$K$345,5,FALSE)="","",VLOOKUP(I$6&amp;$C13,'◆（運営）③結果入力'!$D$16:$K$345,5,FALSE)))</f>
      </c>
      <c r="AE13" s="343">
        <f>IF(ISERROR(VLOOKUP(J$6&amp;$C13,'◆（運営）③結果入力'!$D$16:$K$345,5,FALSE)),IF(VLOOKUP(J$6&amp;$C13,'◆（運営）③結果入力'!$E$16:$K$345,7,FALSE)="","",VLOOKUP(J$6&amp;$C13,'◆（運営）③結果入力'!$E$16:$K$345,7,FALSE)),IF(VLOOKUP(J$6&amp;$C13,'◆（運営）③結果入力'!$D$16:$K$345,5,FALSE)="","",VLOOKUP(J$6&amp;$C13,'◆（運営）③結果入力'!$D$16:$K$345,5,FALSE)))</f>
      </c>
      <c r="AF13" s="343">
        <f>IF(ISERROR(VLOOKUP(K$6&amp;$C13,'◆（運営）③結果入力'!$D$16:$K$345,5,FALSE)),IF(VLOOKUP(K$6&amp;$C13,'◆（運営）③結果入力'!$E$16:$K$345,7,FALSE)="","",VLOOKUP(K$6&amp;$C13,'◆（運営）③結果入力'!$E$16:$K$345,7,FALSE)),IF(VLOOKUP(K$6&amp;$C13,'◆（運営）③結果入力'!$D$16:$K$345,5,FALSE)="","",VLOOKUP(K$6&amp;$C13,'◆（運営）③結果入力'!$D$16:$K$345,5,FALSE)))</f>
      </c>
      <c r="AG13" s="386"/>
      <c r="AH13" s="343">
        <f>IF(ISERROR(VLOOKUP(M$6&amp;$C13,'◆（運営）③結果入力'!$D$16:$K$345,5,FALSE)),IF(VLOOKUP(M$6&amp;$C13,'◆（運営）③結果入力'!$E$16:$K$345,7,FALSE)="","",VLOOKUP(M$6&amp;$C13,'◆（運営）③結果入力'!$E$16:$K$345,7,FALSE)),IF(VLOOKUP(M$6&amp;$C13,'◆（運営）③結果入力'!$D$16:$K$345,5,FALSE)="","",VLOOKUP(M$6&amp;$C13,'◆（運営）③結果入力'!$D$16:$K$345,5,FALSE)))</f>
      </c>
      <c r="AI13" s="343">
        <f>IF(ISERROR(VLOOKUP(N$6&amp;$C13,'◆（運営）③結果入力'!$D$16:$K$345,5,FALSE)),IF(VLOOKUP(N$6&amp;$C13,'◆（運営）③結果入力'!$E$16:$K$345,7,FALSE)="","",VLOOKUP(N$6&amp;$C13,'◆（運営）③結果入力'!$E$16:$K$345,7,FALSE)),IF(VLOOKUP(N$6&amp;$C13,'◆（運営）③結果入力'!$D$16:$K$345,5,FALSE)="","",VLOOKUP(N$6&amp;$C13,'◆（運営）③結果入力'!$D$16:$K$345,5,FALSE)))</f>
      </c>
      <c r="AJ13" s="343">
        <f>IF(O6="","",IF(ISERROR(VLOOKUP(O$6&amp;$C13,'◆（運営）③結果入力'!$D$16:$K$345,5,FALSE)),IF(VLOOKUP(O$6&amp;$C13,'◆（運営）③結果入力'!$E$16:$K$345,7,FALSE)="","",VLOOKUP(O$6&amp;$C13,'◆（運営）③結果入力'!$E$16:$K$345,7,FALSE)),IF(VLOOKUP(O$6&amp;$C13,'◆（運営）③結果入力'!$D$16:$K$345,5,FALSE)="","",VLOOKUP(O$6&amp;$C13,'◆（運営）③結果入力'!$D$16:$K$345,5,FALSE))))</f>
      </c>
      <c r="AK13" s="343"/>
      <c r="AL13" s="344"/>
      <c r="AM13" s="345">
        <f t="shared" si="9"/>
      </c>
      <c r="AO13" s="335">
        <f t="shared" si="10"/>
        <v>0</v>
      </c>
      <c r="AP13" s="335">
        <f t="shared" si="11"/>
        <v>0</v>
      </c>
      <c r="AQ13" s="335">
        <f t="shared" si="12"/>
        <v>0</v>
      </c>
      <c r="AR13" s="335">
        <f t="shared" si="13"/>
        <v>0</v>
      </c>
      <c r="AS13" s="335">
        <f t="shared" si="14"/>
        <v>17</v>
      </c>
    </row>
    <row r="14" spans="1:45" ht="12" customHeight="1">
      <c r="A14" s="274">
        <v>8</v>
      </c>
      <c r="B14" s="315" t="str">
        <f>'ブロック表'!C11</f>
        <v>三重</v>
      </c>
      <c r="C14" s="316" t="str">
        <f>IF(B14="","",VLOOKUP(B14,'ブロック表'!$C$4:$N$15,3,FALSE))</f>
        <v>水野 憲一</v>
      </c>
      <c r="D14" s="317"/>
      <c r="E14" s="318"/>
      <c r="F14" s="319">
        <f>IF(ISERROR(VLOOKUP(F$6&amp;$C14,'◆（運営）③結果入力'!$D$16:$I$345,6,FALSE)),IF(VLOOKUP(F$6&amp;$C14,'◆（運営）③結果入力'!$E$16:$J$345,6,FALSE)="","",VLOOKUP(F$6&amp;$C14,'◆（運営）③結果入力'!$E$16:$J$345,6,FALSE)),IF(VLOOKUP(F$6&amp;$C14,'◆（運営）③結果入力'!$D$16:$I$345,6,FALSE)="","",VLOOKUP(F$6&amp;$C14,'◆（運営）③結果入力'!$D$16:$I$345,6,FALSE)))</f>
        <v>54</v>
      </c>
      <c r="G14" s="320" t="str">
        <f>IF(ISERROR(VLOOKUP(G$6&amp;$C14,'◆（運営）③結果入力'!$D$16:$I$345,6,FALSE)),IF(VLOOKUP(G$6&amp;$C14,'◆（運営）③結果入力'!$E$16:$J$345,6,FALSE)="","",VLOOKUP(G$6&amp;$C14,'◆（運営）③結果入力'!$E$16:$J$345,6,FALSE)),IF(VLOOKUP(G$6&amp;$C14,'◆（運営）③結果入力'!$D$16:$I$345,6,FALSE)="","",VLOOKUP(G$6&amp;$C14,'◆（運営）③結果入力'!$D$16:$I$345,6,FALSE)))</f>
        <v>W</v>
      </c>
      <c r="H14" s="320">
        <f>IF(ISERROR(VLOOKUP(H$6&amp;$C14,'◆（運営）③結果入力'!$D$16:$I$345,6,FALSE)),IF(VLOOKUP(H$6&amp;$C14,'◆（運営）③結果入力'!$E$16:$J$345,6,FALSE)="","",VLOOKUP(H$6&amp;$C14,'◆（運営）③結果入力'!$E$16:$J$345,6,FALSE)),IF(VLOOKUP(H$6&amp;$C14,'◆（運営）③結果入力'!$D$16:$I$345,6,FALSE)="","",VLOOKUP(H$6&amp;$C14,'◆（運営）③結果入力'!$D$16:$I$345,6,FALSE)))</f>
        <v>14</v>
      </c>
      <c r="I14" s="320">
        <f>IF(ISERROR(VLOOKUP(I$6&amp;$C14,'◆（運営）③結果入力'!$D$16:$I$345,6,FALSE)),IF(VLOOKUP(I$6&amp;$C14,'◆（運営）③結果入力'!$E$16:$J$345,6,FALSE)="","",VLOOKUP(I$6&amp;$C14,'◆（運営）③結果入力'!$E$16:$J$345,6,FALSE)),IF(VLOOKUP(I$6&amp;$C14,'◆（運営）③結果入力'!$D$16:$I$345,6,FALSE)="","",VLOOKUP(I$6&amp;$C14,'◆（運営）③結果入力'!$D$16:$I$345,6,FALSE)))</f>
        <v>80</v>
      </c>
      <c r="J14" s="320" t="str">
        <f>IF(ISERROR(VLOOKUP(J$6&amp;$C14,'◆（運営）③結果入力'!$D$16:$I$345,6,FALSE)),IF(VLOOKUP(J$6&amp;$C14,'◆（運営）③結果入力'!$E$16:$J$345,6,FALSE)="","",VLOOKUP(J$6&amp;$C14,'◆（運営）③結果入力'!$E$16:$J$345,6,FALSE)),IF(VLOOKUP(J$6&amp;$C14,'◆（運営）③結果入力'!$D$16:$I$345,6,FALSE)="","",VLOOKUP(J$6&amp;$C14,'◆（運営）③結果入力'!$D$16:$I$345,6,FALSE)))</f>
        <v>W</v>
      </c>
      <c r="K14" s="320" t="str">
        <f>IF(ISERROR(VLOOKUP(K$6&amp;$C14,'◆（運営）③結果入力'!$D$16:$I$345,6,FALSE)),IF(VLOOKUP(K$6&amp;$C14,'◆（運営）③結果入力'!$E$16:$J$345,6,FALSE)="","",VLOOKUP(K$6&amp;$C14,'◆（運営）③結果入力'!$E$16:$J$345,6,FALSE)),IF(VLOOKUP(K$6&amp;$C14,'◆（運営）③結果入力'!$D$16:$I$345,6,FALSE)="","",VLOOKUP(K$6&amp;$C14,'◆（運営）③結果入力'!$D$16:$I$345,6,FALSE)))</f>
        <v>W</v>
      </c>
      <c r="L14" s="320" t="str">
        <f>IF(ISERROR(VLOOKUP(L$6&amp;$C14,'◆（運営）③結果入力'!$D$16:$I$345,6,FALSE)),IF(VLOOKUP(L$6&amp;$C14,'◆（運営）③結果入力'!$E$16:$J$345,6,FALSE)="","",VLOOKUP(L$6&amp;$C14,'◆（運営）③結果入力'!$E$16:$J$345,6,FALSE)),IF(VLOOKUP(L$6&amp;$C14,'◆（運営）③結果入力'!$D$16:$I$345,6,FALSE)="","",VLOOKUP(L$6&amp;$C14,'◆（運営）③結果入力'!$D$16:$I$345,6,FALSE)))</f>
        <v>W</v>
      </c>
      <c r="M14" s="383"/>
      <c r="N14" s="320" t="str">
        <f>IF(ISERROR(VLOOKUP(N$6&amp;$C14,'◆（運営）③結果入力'!$D$16:$I$345,6,FALSE)),IF(VLOOKUP(N$6&amp;$C14,'◆（運営）③結果入力'!$E$16:$J$345,6,FALSE)="","",VLOOKUP(N$6&amp;$C14,'◆（運営）③結果入力'!$E$16:$J$345,6,FALSE)),IF(VLOOKUP(N$6&amp;$C14,'◆（運営）③結果入力'!$D$16:$I$345,6,FALSE)="","",VLOOKUP(N$6&amp;$C14,'◆（運営）③結果入力'!$D$16:$I$345,6,FALSE)))</f>
        <v>W</v>
      </c>
      <c r="O14" s="320" t="str">
        <f>IF(O6="","",IF(ISERROR(VLOOKUP(O$6&amp;$C14,'◆（運営）③結果入力'!$D$16:$I$345,6,FALSE)),IF(VLOOKUP(O$6&amp;$C14,'◆（運営）③結果入力'!$E$16:$J$345,6,FALSE)="","",VLOOKUP(O$6&amp;$C14,'◆（運営）③結果入力'!$E$16:$J$345,6,FALSE)),IF(VLOOKUP(O$6&amp;$C14,'◆（運営）③結果入力'!$D$16:$I$345,6,FALSE)="","",VLOOKUP(O$6&amp;$C14,'◆（運営）③結果入力'!$D$16:$I$345,6,FALSE))))</f>
        <v>W</v>
      </c>
      <c r="P14" s="340">
        <f t="shared" si="0"/>
        <v>6</v>
      </c>
      <c r="Q14" s="200">
        <f t="shared" si="1"/>
        <v>3</v>
      </c>
      <c r="R14" s="341">
        <f t="shared" si="2"/>
        <v>868</v>
      </c>
      <c r="S14" s="341">
        <f>IF(COUNTBLANK(F14:O14)=10,"",SUM(M7:M16)+(Q14*120))</f>
        <v>755</v>
      </c>
      <c r="T14" s="303">
        <f t="shared" si="3"/>
        <v>4</v>
      </c>
      <c r="U14" s="276">
        <f t="shared" si="4"/>
        <v>9</v>
      </c>
      <c r="V14" s="276">
        <f t="shared" si="5"/>
        <v>0</v>
      </c>
      <c r="W14" s="276">
        <f t="shared" si="6"/>
        <v>608679245</v>
      </c>
      <c r="X14" s="276">
        <f>IF(W14=0,"",IF(W14=MAX($W$14,$W$27,$W$40,$W$53,$W$66),1,""))</f>
      </c>
      <c r="Y14" s="276" t="str">
        <f t="shared" si="7"/>
        <v>三重</v>
      </c>
      <c r="Z14" s="276" t="str">
        <f t="shared" si="8"/>
        <v>水野 憲一</v>
      </c>
      <c r="AA14" s="342">
        <f>IF(ISERROR(VLOOKUP(F$6&amp;$C14,'◆（運営）③結果入力'!$D$16:$K$345,5,FALSE)),IF(VLOOKUP(F$6&amp;$C14,'◆（運営）③結果入力'!$E$16:$K$345,7,FALSE)="","",VLOOKUP(F$6&amp;$C14,'◆（運営）③結果入力'!$E$16:$K$345,7,FALSE)),IF(VLOOKUP(F$6&amp;$C14,'◆（運営）③結果入力'!$D$16:$K$345,5,FALSE)="","",VLOOKUP(F$6&amp;$C14,'◆（運営）③結果入力'!$D$16:$K$345,5,FALSE)))</f>
      </c>
      <c r="AB14" s="343">
        <f>IF(ISERROR(VLOOKUP(G$6&amp;$C14,'◆（運営）③結果入力'!$D$16:$K$345,5,FALSE)),IF(VLOOKUP(G$6&amp;$C14,'◆（運営）③結果入力'!$E$16:$K$345,7,FALSE)="","",VLOOKUP(G$6&amp;$C14,'◆（運営）③結果入力'!$E$16:$K$345,7,FALSE)),IF(VLOOKUP(G$6&amp;$C14,'◆（運営）③結果入力'!$D$16:$K$345,5,FALSE)="","",VLOOKUP(G$6&amp;$C14,'◆（運営）③結果入力'!$D$16:$K$345,5,FALSE)))</f>
      </c>
      <c r="AC14" s="343">
        <f>IF(ISERROR(VLOOKUP(H$6&amp;$C14,'◆（運営）③結果入力'!$D$16:$K$345,5,FALSE)),IF(VLOOKUP(H$6&amp;$C14,'◆（運営）③結果入力'!$E$16:$K$345,7,FALSE)="","",VLOOKUP(H$6&amp;$C14,'◆（運営）③結果入力'!$E$16:$K$345,7,FALSE)),IF(VLOOKUP(H$6&amp;$C14,'◆（運営）③結果入力'!$D$16:$K$345,5,FALSE)="","",VLOOKUP(H$6&amp;$C14,'◆（運営）③結果入力'!$D$16:$K$345,5,FALSE)))</f>
      </c>
      <c r="AD14" s="343">
        <f>IF(ISERROR(VLOOKUP(I$6&amp;$C14,'◆（運営）③結果入力'!$D$16:$K$345,5,FALSE)),IF(VLOOKUP(I$6&amp;$C14,'◆（運営）③結果入力'!$E$16:$K$345,7,FALSE)="","",VLOOKUP(I$6&amp;$C14,'◆（運営）③結果入力'!$E$16:$K$345,7,FALSE)),IF(VLOOKUP(I$6&amp;$C14,'◆（運営）③結果入力'!$D$16:$K$345,5,FALSE)="","",VLOOKUP(I$6&amp;$C14,'◆（運営）③結果入力'!$D$16:$K$345,5,FALSE)))</f>
      </c>
      <c r="AE14" s="343">
        <f>IF(ISERROR(VLOOKUP(J$6&amp;$C14,'◆（運営）③結果入力'!$D$16:$K$345,5,FALSE)),IF(VLOOKUP(J$6&amp;$C14,'◆（運営）③結果入力'!$E$16:$K$345,7,FALSE)="","",VLOOKUP(J$6&amp;$C14,'◆（運営）③結果入力'!$E$16:$K$345,7,FALSE)),IF(VLOOKUP(J$6&amp;$C14,'◆（運営）③結果入力'!$D$16:$K$345,5,FALSE)="","",VLOOKUP(J$6&amp;$C14,'◆（運営）③結果入力'!$D$16:$K$345,5,FALSE)))</f>
      </c>
      <c r="AF14" s="343">
        <f>IF(ISERROR(VLOOKUP(K$6&amp;$C14,'◆（運営）③結果入力'!$D$16:$K$345,5,FALSE)),IF(VLOOKUP(K$6&amp;$C14,'◆（運営）③結果入力'!$E$16:$K$345,7,FALSE)="","",VLOOKUP(K$6&amp;$C14,'◆（運営）③結果入力'!$E$16:$K$345,7,FALSE)),IF(VLOOKUP(K$6&amp;$C14,'◆（運営）③結果入力'!$D$16:$K$345,5,FALSE)="","",VLOOKUP(K$6&amp;$C14,'◆（運営）③結果入力'!$D$16:$K$345,5,FALSE)))</f>
      </c>
      <c r="AG14" s="343">
        <f>IF(ISERROR(VLOOKUP(L$6&amp;$C14,'◆（運営）③結果入力'!$D$16:$K$345,5,FALSE)),IF(VLOOKUP(L$6&amp;$C14,'◆（運営）③結果入力'!$E$16:$K$345,7,FALSE)="","",VLOOKUP(L$6&amp;$C14,'◆（運営）③結果入力'!$E$16:$K$345,7,FALSE)),IF(VLOOKUP(L$6&amp;$C14,'◆（運営）③結果入力'!$D$16:$K$345,5,FALSE)="","",VLOOKUP(L$6&amp;$C14,'◆（運営）③結果入力'!$D$16:$K$345,5,FALSE)))</f>
      </c>
      <c r="AH14" s="386"/>
      <c r="AI14" s="343">
        <f>IF(ISERROR(VLOOKUP(N$6&amp;$C14,'◆（運営）③結果入力'!$D$16:$K$345,5,FALSE)),IF(VLOOKUP(N$6&amp;$C14,'◆（運営）③結果入力'!$E$16:$K$345,7,FALSE)="","",VLOOKUP(N$6&amp;$C14,'◆（運営）③結果入力'!$E$16:$K$345,7,FALSE)),IF(VLOOKUP(N$6&amp;$C14,'◆（運営）③結果入力'!$D$16:$K$345,5,FALSE)="","",VLOOKUP(N$6&amp;$C14,'◆（運営）③結果入力'!$D$16:$K$345,5,FALSE)))</f>
      </c>
      <c r="AJ14" s="343">
        <f>IF(O6="","",IF(ISERROR(VLOOKUP(O$6&amp;$C14,'◆（運営）③結果入力'!$D$16:$K$345,5,FALSE)),IF(VLOOKUP(O$6&amp;$C14,'◆（運営）③結果入力'!$E$16:$K$345,7,FALSE)="","",VLOOKUP(O$6&amp;$C14,'◆（運営）③結果入力'!$E$16:$K$345,7,FALSE)),IF(VLOOKUP(O$6&amp;$C14,'◆（運営）③結果入力'!$D$16:$K$345,5,FALSE)="","",VLOOKUP(O$6&amp;$C14,'◆（運営）③結果入力'!$D$16:$K$345,5,FALSE))))</f>
      </c>
      <c r="AK14" s="343"/>
      <c r="AL14" s="344"/>
      <c r="AM14" s="345">
        <f t="shared" si="9"/>
      </c>
      <c r="AO14" s="335">
        <f t="shared" si="10"/>
        <v>0</v>
      </c>
      <c r="AP14" s="335">
        <f t="shared" si="11"/>
        <v>0</v>
      </c>
      <c r="AQ14" s="335">
        <f t="shared" si="12"/>
        <v>0</v>
      </c>
      <c r="AR14" s="335">
        <f t="shared" si="13"/>
        <v>0</v>
      </c>
      <c r="AS14" s="335">
        <f t="shared" si="14"/>
        <v>17</v>
      </c>
    </row>
    <row r="15" spans="1:45" ht="12" customHeight="1">
      <c r="A15" s="274">
        <v>9</v>
      </c>
      <c r="B15" s="315" t="str">
        <f>'ブロック表'!C12</f>
        <v>岐阜</v>
      </c>
      <c r="C15" s="316" t="str">
        <f>IF(B15="","",VLOOKUP(B15,'ブロック表'!$C$4:$N$15,3,FALSE))</f>
        <v>木村 隼人</v>
      </c>
      <c r="D15" s="317"/>
      <c r="E15" s="318"/>
      <c r="F15" s="319" t="str">
        <f>IF(ISERROR(VLOOKUP(F$6&amp;$C15,'◆（運営）③結果入力'!$D$16:$I$345,6,FALSE)),IF(VLOOKUP(F$6&amp;$C15,'◆（運営）③結果入力'!$E$16:$J$345,6,FALSE)="","",VLOOKUP(F$6&amp;$C15,'◆（運営）③結果入力'!$E$16:$J$345,6,FALSE)),IF(VLOOKUP(F$6&amp;$C15,'◆（運営）③結果入力'!$D$16:$I$345,6,FALSE)="","",VLOOKUP(F$6&amp;$C15,'◆（運営）③結果入力'!$D$16:$I$345,6,FALSE)))</f>
        <v>W</v>
      </c>
      <c r="G15" s="320">
        <f>IF(ISERROR(VLOOKUP(G$6&amp;$C15,'◆（運営）③結果入力'!$D$16:$I$345,6,FALSE)),IF(VLOOKUP(G$6&amp;$C15,'◆（運営）③結果入力'!$E$16:$J$345,6,FALSE)="","",VLOOKUP(G$6&amp;$C15,'◆（運営）③結果入力'!$E$16:$J$345,6,FALSE)),IF(VLOOKUP(G$6&amp;$C15,'◆（運営）③結果入力'!$D$16:$I$345,6,FALSE)="","",VLOOKUP(G$6&amp;$C15,'◆（運営）③結果入力'!$D$16:$I$345,6,FALSE)))</f>
        <v>25</v>
      </c>
      <c r="H15" s="320" t="str">
        <f>IF(ISERROR(VLOOKUP(H$6&amp;$C15,'◆（運営）③結果入力'!$D$16:$I$345,6,FALSE)),IF(VLOOKUP(H$6&amp;$C15,'◆（運営）③結果入力'!$E$16:$J$345,6,FALSE)="","",VLOOKUP(H$6&amp;$C15,'◆（運営）③結果入力'!$E$16:$J$345,6,FALSE)),IF(VLOOKUP(H$6&amp;$C15,'◆（運営）③結果入力'!$D$16:$I$345,6,FALSE)="","",VLOOKUP(H$6&amp;$C15,'◆（運営）③結果入力'!$D$16:$I$345,6,FALSE)))</f>
        <v>W</v>
      </c>
      <c r="I15" s="320" t="str">
        <f>IF(ISERROR(VLOOKUP(I$6&amp;$C15,'◆（運営）③結果入力'!$D$16:$I$345,6,FALSE)),IF(VLOOKUP(I$6&amp;$C15,'◆（運営）③結果入力'!$E$16:$J$345,6,FALSE)="","",VLOOKUP(I$6&amp;$C15,'◆（運営）③結果入力'!$E$16:$J$345,6,FALSE)),IF(VLOOKUP(I$6&amp;$C15,'◆（運営）③結果入力'!$D$16:$I$345,6,FALSE)="","",VLOOKUP(I$6&amp;$C15,'◆（運営）③結果入力'!$D$16:$I$345,6,FALSE)))</f>
        <v>W</v>
      </c>
      <c r="J15" s="320">
        <f>IF(ISERROR(VLOOKUP(J$6&amp;$C15,'◆（運営）③結果入力'!$D$16:$I$345,6,FALSE)),IF(VLOOKUP(J$6&amp;$C15,'◆（運営）③結果入力'!$E$16:$J$345,6,FALSE)="","",VLOOKUP(J$6&amp;$C15,'◆（運営）③結果入力'!$E$16:$J$345,6,FALSE)),IF(VLOOKUP(J$6&amp;$C15,'◆（運営）③結果入力'!$D$16:$I$345,6,FALSE)="","",VLOOKUP(J$6&amp;$C15,'◆（運営）③結果入力'!$D$16:$I$345,6,FALSE)))</f>
        <v>81</v>
      </c>
      <c r="K15" s="320" t="str">
        <f>IF(ISERROR(VLOOKUP(K$6&amp;$C15,'◆（運営）③結果入力'!$D$16:$I$345,6,FALSE)),IF(VLOOKUP(K$6&amp;$C15,'◆（運営）③結果入力'!$E$16:$J$345,6,FALSE)="","",VLOOKUP(K$6&amp;$C15,'◆（運営）③結果入力'!$E$16:$J$345,6,FALSE)),IF(VLOOKUP(K$6&amp;$C15,'◆（運営）③結果入力'!$D$16:$I$345,6,FALSE)="","",VLOOKUP(K$6&amp;$C15,'◆（運営）③結果入力'!$D$16:$I$345,6,FALSE)))</f>
        <v>W</v>
      </c>
      <c r="L15" s="320">
        <f>IF(ISERROR(VLOOKUP(L$6&amp;$C15,'◆（運営）③結果入力'!$D$16:$I$345,6,FALSE)),IF(VLOOKUP(L$6&amp;$C15,'◆（運営）③結果入力'!$E$16:$J$345,6,FALSE)="","",VLOOKUP(L$6&amp;$C15,'◆（運営）③結果入力'!$E$16:$J$345,6,FALSE)),IF(VLOOKUP(L$6&amp;$C15,'◆（運営）③結果入力'!$D$16:$I$345,6,FALSE)="","",VLOOKUP(L$6&amp;$C15,'◆（運営）③結果入力'!$D$16:$I$345,6,FALSE)))</f>
        <v>73</v>
      </c>
      <c r="M15" s="320">
        <f>IF(ISERROR(VLOOKUP(M$6&amp;$C15,'◆（運営）③結果入力'!$D$16:$I$345,6,FALSE)),IF(VLOOKUP(M$6&amp;$C15,'◆（運営）③結果入力'!$E$16:$J$345,6,FALSE)="","",VLOOKUP(M$6&amp;$C15,'◆（運営）③結果入力'!$E$16:$J$345,6,FALSE)),IF(VLOOKUP(M$6&amp;$C15,'◆（運営）③結果入力'!$D$16:$I$345,6,FALSE)="","",VLOOKUP(M$6&amp;$C15,'◆（運営）③結果入力'!$D$16:$I$345,6,FALSE)))</f>
        <v>78</v>
      </c>
      <c r="N15" s="383"/>
      <c r="O15" s="320">
        <f>IF(O6="","",IF(ISERROR(VLOOKUP(O$6&amp;$C15,'◆（運営）③結果入力'!$D$16:$I$345,6,FALSE)),IF(VLOOKUP(O$6&amp;$C15,'◆（運営）③結果入力'!$E$16:$J$345,6,FALSE)="","",VLOOKUP(O$6&amp;$C15,'◆（運営）③結果入力'!$E$16:$J$345,6,FALSE)),IF(VLOOKUP(O$6&amp;$C15,'◆（運営）③結果入力'!$D$16:$I$345,6,FALSE)="","",VLOOKUP(O$6&amp;$C15,'◆（運営）③結果入力'!$D$16:$I$345,6,FALSE))))</f>
        <v>96</v>
      </c>
      <c r="P15" s="340">
        <f t="shared" si="0"/>
        <v>4</v>
      </c>
      <c r="Q15" s="200">
        <f t="shared" si="1"/>
        <v>5</v>
      </c>
      <c r="R15" s="341">
        <f t="shared" si="2"/>
        <v>833</v>
      </c>
      <c r="S15" s="341">
        <f>IF(COUNTBLANK(F15:O15)=10,"",SUM(N7:N16)+(Q15*120))</f>
        <v>785</v>
      </c>
      <c r="T15" s="303">
        <f t="shared" si="3"/>
        <v>5</v>
      </c>
      <c r="U15" s="276">
        <f t="shared" si="4"/>
        <v>9</v>
      </c>
      <c r="V15" s="276">
        <f t="shared" si="5"/>
        <v>0</v>
      </c>
      <c r="W15" s="276">
        <f t="shared" si="6"/>
        <v>408329215</v>
      </c>
      <c r="X15" s="276">
        <f>IF(W15=0,"",IF(W15=MAX($W$15,$W$28,$W$41,$W$54,$W$67),1,""))</f>
      </c>
      <c r="Y15" s="276" t="str">
        <f t="shared" si="7"/>
        <v>岐阜</v>
      </c>
      <c r="Z15" s="276" t="str">
        <f t="shared" si="8"/>
        <v>木村 隼人</v>
      </c>
      <c r="AA15" s="342">
        <f>IF(ISERROR(VLOOKUP(F$6&amp;$C15,'◆（運営）③結果入力'!$D$16:$K$345,5,FALSE)),IF(VLOOKUP(F$6&amp;$C15,'◆（運営）③結果入力'!$E$16:$K$345,7,FALSE)="","",VLOOKUP(F$6&amp;$C15,'◆（運営）③結果入力'!$E$16:$K$345,7,FALSE)),IF(VLOOKUP(F$6&amp;$C15,'◆（運営）③結果入力'!$D$16:$K$345,5,FALSE)="","",VLOOKUP(F$6&amp;$C15,'◆（運営）③結果入力'!$D$16:$K$345,5,FALSE)))</f>
      </c>
      <c r="AB15" s="343">
        <f>IF(ISERROR(VLOOKUP(G$6&amp;$C15,'◆（運営）③結果入力'!$D$16:$K$345,5,FALSE)),IF(VLOOKUP(G$6&amp;$C15,'◆（運営）③結果入力'!$E$16:$K$345,7,FALSE)="","",VLOOKUP(G$6&amp;$C15,'◆（運営）③結果入力'!$E$16:$K$345,7,FALSE)),IF(VLOOKUP(G$6&amp;$C15,'◆（運営）③結果入力'!$D$16:$K$345,5,FALSE)="","",VLOOKUP(G$6&amp;$C15,'◆（運営）③結果入力'!$D$16:$K$345,5,FALSE)))</f>
      </c>
      <c r="AC15" s="343">
        <f>IF(ISERROR(VLOOKUP(H$6&amp;$C15,'◆（運営）③結果入力'!$D$16:$K$345,5,FALSE)),IF(VLOOKUP(H$6&amp;$C15,'◆（運営）③結果入力'!$E$16:$K$345,7,FALSE)="","",VLOOKUP(H$6&amp;$C15,'◆（運営）③結果入力'!$E$16:$K$345,7,FALSE)),IF(VLOOKUP(H$6&amp;$C15,'◆（運営）③結果入力'!$D$16:$K$345,5,FALSE)="","",VLOOKUP(H$6&amp;$C15,'◆（運営）③結果入力'!$D$16:$K$345,5,FALSE)))</f>
        <v>111</v>
      </c>
      <c r="AD15" s="343">
        <f>IF(ISERROR(VLOOKUP(I$6&amp;$C15,'◆（運営）③結果入力'!$D$16:$K$345,5,FALSE)),IF(VLOOKUP(I$6&amp;$C15,'◆（運営）③結果入力'!$E$16:$K$345,7,FALSE)="","",VLOOKUP(I$6&amp;$C15,'◆（運営）③結果入力'!$E$16:$K$345,7,FALSE)),IF(VLOOKUP(I$6&amp;$C15,'◆（運営）③結果入力'!$D$16:$K$345,5,FALSE)="","",VLOOKUP(I$6&amp;$C15,'◆（運営）③結果入力'!$D$16:$K$345,5,FALSE)))</f>
        <v>130</v>
      </c>
      <c r="AE15" s="343">
        <f>IF(ISERROR(VLOOKUP(J$6&amp;$C15,'◆（運営）③結果入力'!$D$16:$K$345,5,FALSE)),IF(VLOOKUP(J$6&amp;$C15,'◆（運営）③結果入力'!$E$16:$K$345,7,FALSE)="","",VLOOKUP(J$6&amp;$C15,'◆（運営）③結果入力'!$E$16:$K$345,7,FALSE)),IF(VLOOKUP(J$6&amp;$C15,'◆（運営）③結果入力'!$D$16:$K$345,5,FALSE)="","",VLOOKUP(J$6&amp;$C15,'◆（運営）③結果入力'!$D$16:$K$345,5,FALSE)))</f>
      </c>
      <c r="AF15" s="343">
        <f>IF(ISERROR(VLOOKUP(K$6&amp;$C15,'◆（運営）③結果入力'!$D$16:$K$345,5,FALSE)),IF(VLOOKUP(K$6&amp;$C15,'◆（運営）③結果入力'!$E$16:$K$345,7,FALSE)="","",VLOOKUP(K$6&amp;$C15,'◆（運営）③結果入力'!$E$16:$K$345,7,FALSE)),IF(VLOOKUP(K$6&amp;$C15,'◆（運営）③結果入力'!$D$16:$K$345,5,FALSE)="","",VLOOKUP(K$6&amp;$C15,'◆（運営）③結果入力'!$D$16:$K$345,5,FALSE)))</f>
      </c>
      <c r="AG15" s="343">
        <f>IF(ISERROR(VLOOKUP(L$6&amp;$C15,'◆（運営）③結果入力'!$D$16:$K$345,5,FALSE)),IF(VLOOKUP(L$6&amp;$C15,'◆（運営）③結果入力'!$E$16:$K$345,7,FALSE)="","",VLOOKUP(L$6&amp;$C15,'◆（運営）③結果入力'!$E$16:$K$345,7,FALSE)),IF(VLOOKUP(L$6&amp;$C15,'◆（運営）③結果入力'!$D$16:$K$345,5,FALSE)="","",VLOOKUP(L$6&amp;$C15,'◆（運営）③結果入力'!$D$16:$K$345,5,FALSE)))</f>
      </c>
      <c r="AH15" s="343">
        <f>IF(ISERROR(VLOOKUP(M$6&amp;$C15,'◆（運営）③結果入力'!$D$16:$K$345,5,FALSE)),IF(VLOOKUP(M$6&amp;$C15,'◆（運営）③結果入力'!$E$16:$K$345,7,FALSE)="","",VLOOKUP(M$6&amp;$C15,'◆（運営）③結果入力'!$E$16:$K$345,7,FALSE)),IF(VLOOKUP(M$6&amp;$C15,'◆（運営）③結果入力'!$D$16:$K$345,5,FALSE)="","",VLOOKUP(M$6&amp;$C15,'◆（運営）③結果入力'!$D$16:$K$345,5,FALSE)))</f>
      </c>
      <c r="AI15" s="386"/>
      <c r="AJ15" s="343">
        <f>IF(O6="","",IF(ISERROR(VLOOKUP(O$6&amp;$C15,'◆（運営）③結果入力'!$D$16:$K$345,5,FALSE)),IF(VLOOKUP(O$6&amp;$C15,'◆（運営）③結果入力'!$E$16:$K$345,7,FALSE)="","",VLOOKUP(O$6&amp;$C15,'◆（運営）③結果入力'!$E$16:$K$345,7,FALSE)),IF(VLOOKUP(O$6&amp;$C15,'◆（運営）③結果入力'!$D$16:$K$345,5,FALSE)="","",VLOOKUP(O$6&amp;$C15,'◆（運営）③結果入力'!$D$16:$K$345,5,FALSE))))</f>
      </c>
      <c r="AK15" s="343"/>
      <c r="AL15" s="344"/>
      <c r="AM15" s="345">
        <f t="shared" si="9"/>
        <v>130</v>
      </c>
      <c r="AO15" s="335">
        <f t="shared" si="10"/>
        <v>0</v>
      </c>
      <c r="AP15" s="335">
        <f t="shared" si="11"/>
        <v>0</v>
      </c>
      <c r="AQ15" s="335">
        <f t="shared" si="12"/>
        <v>241</v>
      </c>
      <c r="AR15" s="335">
        <f t="shared" si="13"/>
        <v>241</v>
      </c>
      <c r="AS15" s="335">
        <f t="shared" si="14"/>
        <v>5</v>
      </c>
    </row>
    <row r="16" spans="1:45" ht="12.75" customHeight="1">
      <c r="A16" s="274">
        <v>10</v>
      </c>
      <c r="B16" s="321" t="str">
        <f>'ブロック表'!C13</f>
        <v>大阪B</v>
      </c>
      <c r="C16" s="322" t="str">
        <f>IF(B16="","",VLOOKUP(B16,'ブロック表'!$C$4:$N$15,3,FALSE))</f>
        <v>由本 拓</v>
      </c>
      <c r="D16" s="323"/>
      <c r="E16" s="324"/>
      <c r="F16" s="325">
        <f>IF(C16="","",IF(ISERROR(VLOOKUP(F$6&amp;$C16,'◆（運営）③結果入力'!$D$16:$I$345,6,FALSE)),IF(VLOOKUP(F$6&amp;$C16,'◆（運営）③結果入力'!$E$16:$J$345,6,FALSE)="","",VLOOKUP(F$6&amp;$C16,'◆（運営）③結果入力'!$E$16:$J$345,6,FALSE)),IF(VLOOKUP(F$6&amp;$C16,'◆（運営）③結果入力'!$D$16:$I$345,6,FALSE)="","",VLOOKUP(F$6&amp;$C16,'◆（運営）③結果入力'!$D$16:$I$345,6,FALSE))))</f>
        <v>113</v>
      </c>
      <c r="G16" s="327">
        <f>IF(C16="","",IF(ISERROR(VLOOKUP(G$6&amp;$C16,'◆（運営）③結果入力'!$D$16:$I$345,6,FALSE)),IF(VLOOKUP(G$6&amp;$C16,'◆（運営）③結果入力'!$E$16:$J$345,6,FALSE)="","",VLOOKUP(G$6&amp;$C16,'◆（運営）③結果入力'!$E$16:$J$345,6,FALSE)),IF(VLOOKUP(G$6&amp;$C16,'◆（運営）③結果入力'!$D$16:$I$345,6,FALSE)="","",VLOOKUP(G$6&amp;$C16,'◆（運営）③結果入力'!$D$16:$I$345,6,FALSE))))</f>
        <v>52</v>
      </c>
      <c r="H16" s="327" t="str">
        <f>IF(C16="","",IF(ISERROR(VLOOKUP(H$6&amp;$C16,'◆（運営）③結果入力'!$D$16:$I$345,6,FALSE)),IF(VLOOKUP(H$6&amp;$C16,'◆（運営）③結果入力'!$E$16:$J$345,6,FALSE)="","",VLOOKUP(H$6&amp;$C16,'◆（運営）③結果入力'!$E$16:$J$345,6,FALSE)),IF(VLOOKUP(H$6&amp;$C16,'◆（運営）③結果入力'!$D$16:$I$345,6,FALSE)="","",VLOOKUP(H$6&amp;$C16,'◆（運営）③結果入力'!$D$16:$I$345,6,FALSE))))</f>
        <v>W</v>
      </c>
      <c r="I16" s="327">
        <f>IF(C16="","",IF(ISERROR(VLOOKUP(I$6&amp;$C16,'◆（運営）③結果入力'!$D$16:$I$345,6,FALSE)),IF(VLOOKUP(I$6&amp;$C16,'◆（運営）③結果入力'!$E$16:$J$345,6,FALSE)="","",VLOOKUP(I$6&amp;$C16,'◆（運営）③結果入力'!$E$16:$J$345,6,FALSE)),IF(VLOOKUP(I$6&amp;$C16,'◆（運営）③結果入力'!$D$16:$I$345,6,FALSE)="","",VLOOKUP(I$6&amp;$C16,'◆（運営）③結果入力'!$D$16:$I$345,6,FALSE))))</f>
        <v>43</v>
      </c>
      <c r="J16" s="327" t="str">
        <f>IF(C16="","",IF(ISERROR(VLOOKUP(J$6&amp;$C16,'◆（運営）③結果入力'!$D$16:$I$345,6,FALSE)),IF(VLOOKUP(J$6&amp;$C16,'◆（運営）③結果入力'!$E$16:$J$345,6,FALSE)="","",VLOOKUP(J$6&amp;$C16,'◆（運営）③結果入力'!$E$16:$J$345,6,FALSE)),IF(VLOOKUP(J$6&amp;$C16,'◆（運営）③結果入力'!$D$16:$I$345,6,FALSE)="","",VLOOKUP(J$6&amp;$C16,'◆（運営）③結果入力'!$D$16:$I$345,6,FALSE))))</f>
        <v>W</v>
      </c>
      <c r="K16" s="327">
        <f>IF(C16="","",IF(ISERROR(VLOOKUP(K$6&amp;$C16,'◆（運営）③結果入力'!$D$16:$I$345,6,FALSE)),IF(VLOOKUP(K$6&amp;$C16,'◆（運営）③結果入力'!$E$16:$J$345,6,FALSE)="","",VLOOKUP(K$6&amp;$C16,'◆（運営）③結果入力'!$E$16:$J$345,6,FALSE)),IF(VLOOKUP(K$6&amp;$C16,'◆（運営）③結果入力'!$D$16:$I$345,6,FALSE)="","",VLOOKUP(K$6&amp;$C16,'◆（運営）③結果入力'!$D$16:$I$345,6,FALSE))))</f>
        <v>116</v>
      </c>
      <c r="L16" s="327" t="str">
        <f>IF(C16="","",IF(ISERROR(VLOOKUP(L$6&amp;$C16,'◆（運営）③結果入力'!$D$16:$I$345,6,FALSE)),IF(VLOOKUP(L$6&amp;$C16,'◆（運営）③結果入力'!$E$16:$J$345,6,FALSE)="","",VLOOKUP(L$6&amp;$C16,'◆（運営）③結果入力'!$E$16:$J$345,6,FALSE)),IF(VLOOKUP(L$6&amp;$C16,'◆（運営）③結果入力'!$D$16:$I$345,6,FALSE)="","",VLOOKUP(L$6&amp;$C16,'◆（運営）③結果入力'!$D$16:$I$345,6,FALSE))))</f>
        <v>W</v>
      </c>
      <c r="M16" s="327">
        <f>IF(C16="","",IF(ISERROR(VLOOKUP(M$6&amp;$C16,'◆（運営）③結果入力'!$D$16:$I$345,6,FALSE)),IF(VLOOKUP(M$6&amp;$C16,'◆（運営）③結果入力'!$E$16:$J$345,6,FALSE)="","",VLOOKUP(M$6&amp;$C16,'◆（運営）③結果入力'!$E$16:$J$345,6,FALSE)),IF(VLOOKUP(M$6&amp;$C16,'◆（運営）③結果入力'!$D$16:$I$345,6,FALSE)="","",VLOOKUP(M$6&amp;$C16,'◆（運営）③結果入力'!$D$16:$I$345,6,FALSE))))</f>
        <v>18</v>
      </c>
      <c r="N16" s="327" t="str">
        <f>IF(C16="","",IF(ISERROR(VLOOKUP(N$6&amp;$C16,'◆（運営）③結果入力'!$D$16:$I$345,6,FALSE)),IF(VLOOKUP(N$6&amp;$C16,'◆（運営）③結果入力'!$E$16:$J$345,6,FALSE)="","",VLOOKUP(N$6&amp;$C16,'◆（運営）③結果入力'!$E$16:$J$345,6,FALSE)),IF(VLOOKUP(N$6&amp;$C16,'◆（運営）③結果入力'!$D$16:$I$345,6,FALSE)="","",VLOOKUP(N$6&amp;$C16,'◆（運営）③結果入力'!$D$16:$I$345,6,FALSE))))</f>
        <v>W</v>
      </c>
      <c r="O16" s="384"/>
      <c r="P16" s="346">
        <f t="shared" si="0"/>
        <v>4</v>
      </c>
      <c r="Q16" s="326">
        <f t="shared" si="1"/>
        <v>5</v>
      </c>
      <c r="R16" s="347">
        <f t="shared" si="2"/>
        <v>822</v>
      </c>
      <c r="S16" s="347">
        <f>IF(COUNTBLANK(F16:O16)=10,"",SUM(O7:O16)+(Q16*120))</f>
        <v>853</v>
      </c>
      <c r="T16" s="314">
        <f t="shared" si="3"/>
        <v>6</v>
      </c>
      <c r="U16" s="348">
        <f t="shared" si="4"/>
        <v>9</v>
      </c>
      <c r="V16" s="348">
        <f t="shared" si="5"/>
        <v>0</v>
      </c>
      <c r="W16" s="348">
        <f t="shared" si="6"/>
        <v>408219147</v>
      </c>
      <c r="X16" s="348">
        <f>IF(W16=0,"",IF(W16=MAX($W$16,$W$29,$W$42,$W$55,$W$68),1,""))</f>
      </c>
      <c r="Y16" s="348" t="str">
        <f t="shared" si="7"/>
        <v>大阪B</v>
      </c>
      <c r="Z16" s="348" t="str">
        <f t="shared" si="8"/>
        <v>由本 拓</v>
      </c>
      <c r="AA16" s="349">
        <f>IF(C16="","",IF(ISERROR(VLOOKUP(F$6&amp;$C16,'◆（運営）③結果入力'!$D$16:$K$345,5,FALSE)),IF(VLOOKUP(F$6&amp;$C16,'◆（運営）③結果入力'!$E$16:$K$345,7,FALSE)="","",VLOOKUP(F$6&amp;$C16,'◆（運営）③結果入力'!$E$16:$K$345,7,FALSE)),IF(VLOOKUP(F$6&amp;$C16,'◆（運営）③結果入力'!$D$16:$K$345,5,FALSE)="","",VLOOKUP(F$6&amp;$C16,'◆（運営）③結果入力'!$D$16:$K$345,5,FALSE))))</f>
      </c>
      <c r="AB16" s="350">
        <f>IF(C16="","",IF(ISERROR(VLOOKUP(G$6&amp;$C16,'◆（運営）③結果入力'!$D$16:$K$345,5,FALSE)),IF(VLOOKUP(G$6&amp;$C16,'◆（運営）③結果入力'!$E$16:$K$345,7,FALSE)="","",VLOOKUP(G$6&amp;$C16,'◆（運営）③結果入力'!$E$16:$K$345,7,FALSE)),IF(VLOOKUP(G$6&amp;$C16,'◆（運営）③結果入力'!$D$16:$K$345,5,FALSE)="","",VLOOKUP(G$6&amp;$C16,'◆（運営）③結果入力'!$D$16:$K$345,5,FALSE))))</f>
      </c>
      <c r="AC16" s="350">
        <f>IF(C16="","",IF(ISERROR(VLOOKUP(H$6&amp;$C16,'◆（運営）③結果入力'!$D$16:$K$345,5,FALSE)),IF(VLOOKUP(H$6&amp;$C16,'◆（運営）③結果入力'!$E$16:$K$345,7,FALSE)="","",VLOOKUP(H$6&amp;$C16,'◆（運営）③結果入力'!$E$16:$K$345,7,FALSE)),IF(VLOOKUP(H$6&amp;$C16,'◆（運営）③結果入力'!$D$16:$K$345,5,FALSE)="","",VLOOKUP(H$6&amp;$C16,'◆（運営）③結果入力'!$D$16:$K$345,5,FALSE))))</f>
      </c>
      <c r="AD16" s="350">
        <f>IF(C16="","",IF(ISERROR(VLOOKUP(I$6&amp;$C16,'◆（運営）③結果入力'!$D$16:$K$345,5,FALSE)),IF(VLOOKUP(I$6&amp;$C16,'◆（運営）③結果入力'!$E$16:$K$345,7,FALSE)="","",VLOOKUP(I$6&amp;$C16,'◆（運営）③結果入力'!$E$16:$K$345,7,FALSE)),IF(VLOOKUP(I$6&amp;$C16,'◆（運営）③結果入力'!$D$16:$K$345,5,FALSE)="","",VLOOKUP(I$6&amp;$C16,'◆（運営）③結果入力'!$D$16:$K$345,5,FALSE))))</f>
      </c>
      <c r="AE16" s="350">
        <f>IF(C16="","",IF(ISERROR(VLOOKUP(J$6&amp;$C16,'◆（運営）③結果入力'!$D$16:$K$345,5,FALSE)),IF(VLOOKUP(J$6&amp;$C16,'◆（運営）③結果入力'!$E$16:$K$345,7,FALSE)="","",VLOOKUP(J$6&amp;$C16,'◆（運営）③結果入力'!$E$16:$K$345,7,FALSE)),IF(VLOOKUP(J$6&amp;$C16,'◆（運営）③結果入力'!$D$16:$K$345,5,FALSE)="","",VLOOKUP(J$6&amp;$C16,'◆（運営）③結果入力'!$D$16:$K$345,5,FALSE))))</f>
      </c>
      <c r="AF16" s="350">
        <f>IF(C16="","",IF(ISERROR(VLOOKUP(K$6&amp;$C16,'◆（運営）③結果入力'!$D$16:$K$345,5,FALSE)),IF(VLOOKUP(K$6&amp;$C16,'◆（運営）③結果入力'!$E$16:$K$345,7,FALSE)="","",VLOOKUP(K$6&amp;$C16,'◆（運営）③結果入力'!$E$16:$K$345,7,FALSE)),IF(VLOOKUP(K$6&amp;$C16,'◆（運営）③結果入力'!$D$16:$K$345,5,FALSE)="","",VLOOKUP(K$6&amp;$C16,'◆（運営）③結果入力'!$D$16:$K$345,5,FALSE))))</f>
      </c>
      <c r="AG16" s="350">
        <f>IF(C16="","",IF(ISERROR(VLOOKUP(L$6&amp;$C16,'◆（運営）③結果入力'!$D$16:$K$345,5,FALSE)),IF(VLOOKUP(L$6&amp;$C16,'◆（運営）③結果入力'!$E$16:$K$345,7,FALSE)="","",VLOOKUP(L$6&amp;$C16,'◆（運営）③結果入力'!$E$16:$K$345,7,FALSE)),IF(VLOOKUP(L$6&amp;$C16,'◆（運営）③結果入力'!$D$16:$K$345,5,FALSE)="","",VLOOKUP(L$6&amp;$C16,'◆（運営）③結果入力'!$D$16:$K$345,5,FALSE))))</f>
      </c>
      <c r="AH16" s="350">
        <f>IF(C16="","",IF(ISERROR(VLOOKUP(M$6&amp;$C16,'◆（運営）③結果入力'!$D$16:$K$345,5,FALSE)),IF(VLOOKUP(M$6&amp;$C16,'◆（運営）③結果入力'!$E$16:$K$345,7,FALSE)="","",VLOOKUP(M$6&amp;$C16,'◆（運営）③結果入力'!$E$16:$K$345,7,FALSE)),IF(VLOOKUP(M$6&amp;$C16,'◆（運営）③結果入力'!$D$16:$K$345,5,FALSE)="","",VLOOKUP(M$6&amp;$C16,'◆（運営）③結果入力'!$D$16:$K$345,5,FALSE))))</f>
      </c>
      <c r="AI16" s="350">
        <f>IF(C16="","",IF(ISERROR(VLOOKUP(N$6&amp;$C16,'◆（運営）③結果入力'!$D$16:$K$345,5,FALSE)),IF(VLOOKUP(N$6&amp;$C16,'◆（運営）③結果入力'!$E$16:$K$345,7,FALSE)="","",VLOOKUP(N$6&amp;$C16,'◆（運営）③結果入力'!$E$16:$K$345,7,FALSE)),IF(VLOOKUP(N$6&amp;$C16,'◆（運営）③結果入力'!$D$16:$K$345,5,FALSE)="","",VLOOKUP(N$6&amp;$C16,'◆（運営）③結果入力'!$D$16:$K$345,5,FALSE))))</f>
      </c>
      <c r="AJ16" s="387"/>
      <c r="AK16" s="350"/>
      <c r="AL16" s="351"/>
      <c r="AM16" s="352">
        <f t="shared" si="9"/>
      </c>
      <c r="AO16" s="335">
        <f t="shared" si="10"/>
        <v>0</v>
      </c>
      <c r="AP16" s="335">
        <f t="shared" si="11"/>
        <v>0</v>
      </c>
      <c r="AQ16" s="335">
        <f t="shared" si="12"/>
        <v>0</v>
      </c>
      <c r="AR16" s="335">
        <f t="shared" si="13"/>
        <v>0</v>
      </c>
      <c r="AS16" s="335">
        <f t="shared" si="14"/>
        <v>17</v>
      </c>
    </row>
    <row r="18" spans="3:15" ht="12.75" customHeight="1">
      <c r="C18" s="274">
        <f>C5+1</f>
        <v>2</v>
      </c>
      <c r="D18" s="274" t="str">
        <f>D5</f>
        <v>組</v>
      </c>
      <c r="F18" s="30">
        <v>1</v>
      </c>
      <c r="G18" s="30">
        <v>2</v>
      </c>
      <c r="H18" s="30">
        <v>3</v>
      </c>
      <c r="I18" s="30">
        <v>4</v>
      </c>
      <c r="J18" s="30">
        <v>5</v>
      </c>
      <c r="K18" s="30">
        <v>6</v>
      </c>
      <c r="L18" s="30">
        <v>7</v>
      </c>
      <c r="M18" s="30">
        <v>8</v>
      </c>
      <c r="N18" s="30">
        <v>9</v>
      </c>
      <c r="O18" s="30">
        <v>10</v>
      </c>
    </row>
    <row r="19" spans="2:45" ht="50.25" customHeight="1">
      <c r="B19" s="280" t="s">
        <v>229</v>
      </c>
      <c r="C19" s="281" t="s">
        <v>74</v>
      </c>
      <c r="D19" s="282"/>
      <c r="E19" s="283"/>
      <c r="F19" s="284" t="str">
        <f>B20</f>
        <v>兵庫</v>
      </c>
      <c r="G19" s="285" t="str">
        <f>B21</f>
        <v>愛知</v>
      </c>
      <c r="H19" s="285" t="str">
        <f>B22</f>
        <v>京都</v>
      </c>
      <c r="I19" s="285" t="str">
        <f>B23</f>
        <v>大阪A</v>
      </c>
      <c r="J19" s="285" t="str">
        <f>B24</f>
        <v>和歌山</v>
      </c>
      <c r="K19" s="285" t="str">
        <f>B25</f>
        <v>滋賀</v>
      </c>
      <c r="L19" s="285" t="str">
        <f>B26</f>
        <v>奈良</v>
      </c>
      <c r="M19" s="285" t="str">
        <f>B27</f>
        <v>三重</v>
      </c>
      <c r="N19" s="285" t="str">
        <f>B28:B28</f>
        <v>岐阜</v>
      </c>
      <c r="O19" s="285" t="str">
        <f>B29</f>
        <v>大阪B</v>
      </c>
      <c r="P19" s="286" t="s">
        <v>230</v>
      </c>
      <c r="Q19" s="287" t="s">
        <v>231</v>
      </c>
      <c r="R19" s="287" t="s">
        <v>232</v>
      </c>
      <c r="S19" s="287" t="s">
        <v>233</v>
      </c>
      <c r="T19" s="328" t="s">
        <v>234</v>
      </c>
      <c r="U19" s="329" t="s">
        <v>235</v>
      </c>
      <c r="V19" s="329" t="s">
        <v>236</v>
      </c>
      <c r="W19" s="330" t="s">
        <v>237</v>
      </c>
      <c r="X19" s="331"/>
      <c r="Y19" s="331"/>
      <c r="Z19" s="331"/>
      <c r="AA19" s="406" t="s">
        <v>45</v>
      </c>
      <c r="AB19" s="406"/>
      <c r="AC19" s="406"/>
      <c r="AD19" s="406"/>
      <c r="AE19" s="406"/>
      <c r="AF19" s="406"/>
      <c r="AG19" s="406"/>
      <c r="AH19" s="406"/>
      <c r="AI19" s="406"/>
      <c r="AJ19" s="406"/>
      <c r="AK19" s="406"/>
      <c r="AL19" s="407"/>
      <c r="AM19" s="332" t="s">
        <v>238</v>
      </c>
      <c r="AO19" s="333" t="s">
        <v>239</v>
      </c>
      <c r="AP19" s="333" t="s">
        <v>240</v>
      </c>
      <c r="AQ19" s="333" t="s">
        <v>241</v>
      </c>
      <c r="AR19" s="334" t="s">
        <v>242</v>
      </c>
      <c r="AS19" s="335" t="s">
        <v>243</v>
      </c>
    </row>
    <row r="20" spans="1:45" ht="12.75" customHeight="1">
      <c r="A20" s="274">
        <v>1</v>
      </c>
      <c r="B20" s="292" t="str">
        <f aca="true" t="shared" si="15" ref="B20:B29">B7</f>
        <v>兵庫</v>
      </c>
      <c r="C20" s="293" t="str">
        <f>IF(B20="","",VLOOKUP(B20,'ブロック表'!$C$4:$N$15,5,FALSE))</f>
        <v>堂園 雅也</v>
      </c>
      <c r="D20" s="294"/>
      <c r="E20" s="295"/>
      <c r="F20" s="382"/>
      <c r="G20" s="297" t="str">
        <f>IF(ISERROR(VLOOKUP(G$6&amp;$C20,'◆（運営）③結果入力'!$D$16:$I$345,6,FALSE)),IF(VLOOKUP(G$6&amp;$C20,'◆（運営）③結果入力'!$E$16:$J$345,6,FALSE)="","",VLOOKUP(G$6&amp;$C20,'◆（運営）③結果入力'!$E$16:$J$345,6,FALSE)),IF(VLOOKUP(G$6&amp;$C20,'◆（運営）③結果入力'!$D$16:$I$345,6,FALSE)="","",VLOOKUP(G$6&amp;$C20,'◆（運営）③結果入力'!$D$16:$I$345,6,FALSE)))</f>
        <v>W</v>
      </c>
      <c r="H20" s="297">
        <f>IF(ISERROR(VLOOKUP(H$6&amp;$C20,'◆（運営）③結果入力'!$D$16:$I$345,6,FALSE)),IF(VLOOKUP(H$6&amp;$C20,'◆（運営）③結果入力'!$E$16:$J$345,6,FALSE)="","",VLOOKUP(H$6&amp;$C20,'◆（運営）③結果入力'!$E$16:$J$345,6,FALSE)),IF(VLOOKUP(H$6&amp;$C20,'◆（運営）③結果入力'!$D$16:$I$345,6,FALSE)="","",VLOOKUP(H$6&amp;$C20,'◆（運営）③結果入力'!$D$16:$I$345,6,FALSE)))</f>
        <v>60</v>
      </c>
      <c r="I20" s="297" t="str">
        <f>IF(ISERROR(VLOOKUP(I$6&amp;$C20,'◆（運営）③結果入力'!$D$16:$I$345,6,FALSE)),IF(VLOOKUP(I$6&amp;$C20,'◆（運営）③結果入力'!$E$16:$J$345,6,FALSE)="","",VLOOKUP(I$6&amp;$C20,'◆（運営）③結果入力'!$E$16:$J$345,6,FALSE)),IF(VLOOKUP(I$6&amp;$C20,'◆（運営）③結果入力'!$D$16:$I$345,6,FALSE)="","",VLOOKUP(I$6&amp;$C20,'◆（運営）③結果入力'!$D$16:$I$345,6,FALSE)))</f>
        <v>W</v>
      </c>
      <c r="J20" s="297" t="str">
        <f>IF(ISERROR(VLOOKUP(J$6&amp;$C20,'◆（運営）③結果入力'!$D$16:$I$345,6,FALSE)),IF(VLOOKUP(J$6&amp;$C20,'◆（運営）③結果入力'!$E$16:$J$345,6,FALSE)="","",VLOOKUP(J$6&amp;$C20,'◆（運営）③結果入力'!$E$16:$J$345,6,FALSE)),IF(VLOOKUP(J$6&amp;$C20,'◆（運営）③結果入力'!$D$16:$I$345,6,FALSE)="","",VLOOKUP(J$6&amp;$C20,'◆（運営）③結果入力'!$D$16:$I$345,6,FALSE)))</f>
        <v>W</v>
      </c>
      <c r="K20" s="297">
        <f>IF(ISERROR(VLOOKUP(K$6&amp;$C20,'◆（運営）③結果入力'!$D$16:$I$345,6,FALSE)),IF(VLOOKUP(K$6&amp;$C20,'◆（運営）③結果入力'!$E$16:$J$345,6,FALSE)="","",VLOOKUP(K$6&amp;$C20,'◆（運営）③結果入力'!$E$16:$J$345,6,FALSE)),IF(VLOOKUP(K$6&amp;$C20,'◆（運営）③結果入力'!$D$16:$I$345,6,FALSE)="","",VLOOKUP(K$6&amp;$C20,'◆（運営）③結果入力'!$D$16:$I$345,6,FALSE)))</f>
        <v>17</v>
      </c>
      <c r="L20" s="297" t="str">
        <f>IF(ISERROR(VLOOKUP(L$6&amp;$C20,'◆（運営）③結果入力'!$D$16:$I$345,6,FALSE)),IF(VLOOKUP(L$6&amp;$C20,'◆（運営）③結果入力'!$E$16:$J$345,6,FALSE)="","",VLOOKUP(L$6&amp;$C20,'◆（運営）③結果入力'!$E$16:$J$345,6,FALSE)),IF(VLOOKUP(L$6&amp;$C20,'◆（運営）③結果入力'!$D$16:$I$345,6,FALSE)="","",VLOOKUP(L$6&amp;$C20,'◆（運営）③結果入力'!$D$16:$I$345,6,FALSE)))</f>
        <v>W</v>
      </c>
      <c r="M20" s="297" t="str">
        <f>IF(ISERROR(VLOOKUP(M$6&amp;$C20,'◆（運営）③結果入力'!$D$16:$I$345,6,FALSE)),IF(VLOOKUP(M$6&amp;$C20,'◆（運営）③結果入力'!$E$16:$J$345,6,FALSE)="","",VLOOKUP(M$6&amp;$C20,'◆（運営）③結果入力'!$E$16:$J$345,6,FALSE)),IF(VLOOKUP(M$6&amp;$C20,'◆（運営）③結果入力'!$D$16:$I$345,6,FALSE)="","",VLOOKUP(M$6&amp;$C20,'◆（運営）③結果入力'!$D$16:$I$345,6,FALSE)))</f>
        <v>W</v>
      </c>
      <c r="N20" s="297" t="str">
        <f>IF(ISERROR(VLOOKUP(N$6&amp;$C20,'◆（運営）③結果入力'!$D$16:$I$345,6,FALSE)),IF(VLOOKUP(N$6&amp;$C20,'◆（運営）③結果入力'!$E$16:$J$345,6,FALSE)="","",VLOOKUP(N$6&amp;$C20,'◆（運営）③結果入力'!$E$16:$J$345,6,FALSE)),IF(VLOOKUP(N$6&amp;$C20,'◆（運営）③結果入力'!$D$16:$I$345,6,FALSE)="","",VLOOKUP(N$6&amp;$C20,'◆（運営）③結果入力'!$D$16:$I$345,6,FALSE)))</f>
        <v>W</v>
      </c>
      <c r="O20" s="297" t="str">
        <f>IF(O19="","",IF(ISERROR(VLOOKUP(O$6&amp;$C20,'◆（運営）③結果入力'!$D$16:$I$345,6,FALSE)),IF(VLOOKUP(O$6&amp;$C20,'◆（運営）③結果入力'!$E$16:$J$345,6,FALSE)="","",VLOOKUP(O$6&amp;$C20,'◆（運営）③結果入力'!$E$16:$J$345,6,FALSE)),IF(VLOOKUP(O$6&amp;$C20,'◆（運営）③結果入力'!$D$16:$I$345,6,FALSE)="","",VLOOKUP(O$6&amp;$C20,'◆（運営）③結果入力'!$D$16:$I$345,6,FALSE))))</f>
        <v>W</v>
      </c>
      <c r="P20" s="298">
        <f aca="true" t="shared" si="16" ref="P20:P29">IF(COUNTBLANK(F20:O20)=10,"",COUNTIF(F20:O20,"W"))</f>
        <v>7</v>
      </c>
      <c r="Q20" s="299">
        <f aca="true" t="shared" si="17" ref="Q20:Q29">IF(COUNTBLANK(F20:O20)=10,"",COUNT(F20:O20))</f>
        <v>2</v>
      </c>
      <c r="R20" s="300">
        <f aca="true" t="shared" si="18" ref="R20:R29">IF(COUNTBLANK(F20:O20)=10,"",SUM(F20:O20)+(P20*120))</f>
        <v>917</v>
      </c>
      <c r="S20" s="300">
        <f>IF(COUNTBLANK(F20:O20)=10,"",SUM(F20:F29)+(Q20*120))</f>
        <v>518</v>
      </c>
      <c r="T20" s="336">
        <f>IF(COUNTBLANK(F20:O20)=10,"",IF(P20+Q20=0,"",RANK(W20,$W$20:$W$29,0)))</f>
        <v>2</v>
      </c>
      <c r="U20" s="276">
        <f aca="true" t="shared" si="19" ref="U20:U29">COUNTA($F$6:$O$6)-1-V20</f>
        <v>9</v>
      </c>
      <c r="V20" s="276">
        <f aca="true" t="shared" si="20" ref="V20:V29">COUNTBLANK(F20:O20)-1</f>
        <v>0</v>
      </c>
      <c r="W20" s="276">
        <f aca="true" t="shared" si="21" ref="W20:W29">IF(P20="",0,P20*100000000+R20*10000-S20)</f>
        <v>709169482</v>
      </c>
      <c r="X20" s="276">
        <f>IF(W20=0,"",IF(W20=MAX($W$7,$W$20,$W$33,$W$46,$W$59),1,""))</f>
      </c>
      <c r="Y20" s="276" t="str">
        <f aca="true" t="shared" si="22" ref="Y20:Y29">X20&amp;B20</f>
        <v>兵庫</v>
      </c>
      <c r="Z20" s="276" t="str">
        <f aca="true" t="shared" si="23" ref="Z20:Z29">C20</f>
        <v>堂園 雅也</v>
      </c>
      <c r="AA20" s="385"/>
      <c r="AB20" s="337">
        <f>IF(ISERROR(VLOOKUP(G$6&amp;$C20,'◆（運営）③結果入力'!$D$16:$K$345,5,FALSE)),IF(VLOOKUP(G$6&amp;$C20,'◆（運営）③結果入力'!$E$16:$K$345,7,FALSE)="","",VLOOKUP(G$6&amp;$C20,'◆（運営）③結果入力'!$E$16:$K$345,7,FALSE)),IF(VLOOKUP(G$6&amp;$C20,'◆（運営）③結果入力'!$D$16:$K$345,5,FALSE)="","",VLOOKUP(G$6&amp;$C20,'◆（運営）③結果入力'!$D$16:$K$345,5,FALSE)))</f>
        <v>117</v>
      </c>
      <c r="AC20" s="337">
        <f>IF(ISERROR(VLOOKUP(H$6&amp;$C20,'◆（運営）③結果入力'!$D$16:$K$345,5,FALSE)),IF(VLOOKUP(H$6&amp;$C20,'◆（運営）③結果入力'!$E$16:$K$345,7,FALSE)="","",VLOOKUP(H$6&amp;$C20,'◆（運営）③結果入力'!$E$16:$K$345,7,FALSE)),IF(VLOOKUP(H$6&amp;$C20,'◆（運営）③結果入力'!$D$16:$K$345,5,FALSE)="","",VLOOKUP(H$6&amp;$C20,'◆（運営）③結果入力'!$D$16:$K$345,5,FALSE)))</f>
      </c>
      <c r="AD20" s="337">
        <f>IF(ISERROR(VLOOKUP(I$6&amp;$C20,'◆（運営）③結果入力'!$D$16:$K$345,5,FALSE)),IF(VLOOKUP(I$6&amp;$C20,'◆（運営）③結果入力'!$E$16:$K$345,7,FALSE)="","",VLOOKUP(I$6&amp;$C20,'◆（運営）③結果入力'!$E$16:$K$345,7,FALSE)),IF(VLOOKUP(I$6&amp;$C20,'◆（運営）③結果入力'!$D$16:$K$345,5,FALSE)="","",VLOOKUP(I$6&amp;$C20,'◆（運営）③結果入力'!$D$16:$K$345,5,FALSE)))</f>
      </c>
      <c r="AE20" s="337">
        <f>IF(ISERROR(VLOOKUP(J$6&amp;$C20,'◆（運営）③結果入力'!$D$16:$K$345,5,FALSE)),IF(VLOOKUP(J$6&amp;$C20,'◆（運営）③結果入力'!$E$16:$K$345,7,FALSE)="","",VLOOKUP(J$6&amp;$C20,'◆（運営）③結果入力'!$E$16:$K$345,7,FALSE)),IF(VLOOKUP(J$6&amp;$C20,'◆（運営）③結果入力'!$D$16:$K$345,5,FALSE)="","",VLOOKUP(J$6&amp;$C20,'◆（運営）③結果入力'!$D$16:$K$345,5,FALSE)))</f>
      </c>
      <c r="AF20" s="337">
        <f>IF(ISERROR(VLOOKUP(K$6&amp;$C20,'◆（運営）③結果入力'!$D$16:$K$345,5,FALSE)),IF(VLOOKUP(K$6&amp;$C20,'◆（運営）③結果入力'!$E$16:$K$345,7,FALSE)="","",VLOOKUP(K$6&amp;$C20,'◆（運営）③結果入力'!$E$16:$K$345,7,FALSE)),IF(VLOOKUP(K$6&amp;$C20,'◆（運営）③結果入力'!$D$16:$K$345,5,FALSE)="","",VLOOKUP(K$6&amp;$C20,'◆（運営）③結果入力'!$D$16:$K$345,5,FALSE)))</f>
      </c>
      <c r="AG20" s="337">
        <f>IF(ISERROR(VLOOKUP(L$6&amp;$C20,'◆（運営）③結果入力'!$D$16:$K$345,5,FALSE)),IF(VLOOKUP(L$6&amp;$C20,'◆（運営）③結果入力'!$E$16:$K$345,7,FALSE)="","",VLOOKUP(L$6&amp;$C20,'◆（運営）③結果入力'!$E$16:$K$345,7,FALSE)),IF(VLOOKUP(L$6&amp;$C20,'◆（運営）③結果入力'!$D$16:$K$345,5,FALSE)="","",VLOOKUP(L$6&amp;$C20,'◆（運営）③結果入力'!$D$16:$K$345,5,FALSE)))</f>
      </c>
      <c r="AH20" s="337">
        <f>IF(ISERROR(VLOOKUP(M$6&amp;$C20,'◆（運営）③結果入力'!$D$16:$K$345,5,FALSE)),IF(VLOOKUP(M$6&amp;$C20,'◆（運営）③結果入力'!$E$16:$K$345,7,FALSE)="","",VLOOKUP(M$6&amp;$C20,'◆（運営）③結果入力'!$E$16:$K$345,7,FALSE)),IF(VLOOKUP(M$6&amp;$C20,'◆（運営）③結果入力'!$D$16:$K$345,5,FALSE)="","",VLOOKUP(M$6&amp;$C20,'◆（運営）③結果入力'!$D$16:$K$345,5,FALSE)))</f>
        <v>110</v>
      </c>
      <c r="AI20" s="337">
        <f>IF(ISERROR(VLOOKUP(N$6&amp;$C20,'◆（運営）③結果入力'!$D$16:$K$345,5,FALSE)),IF(VLOOKUP(N$6&amp;$C20,'◆（運営）③結果入力'!$E$16:$K$345,7,FALSE)="","",VLOOKUP(N$6&amp;$C20,'◆（運営）③結果入力'!$E$16:$K$345,7,FALSE)),IF(VLOOKUP(N$6&amp;$C20,'◆（運営）③結果入力'!$D$16:$K$345,5,FALSE)="","",VLOOKUP(N$6&amp;$C20,'◆（運営）③結果入力'!$D$16:$K$345,5,FALSE)))</f>
      </c>
      <c r="AJ20" s="337">
        <f>IF(O19="","",IF(ISERROR(VLOOKUP(O$6&amp;$C20,'◆（運営）③結果入力'!$D$16:$K$345,5,FALSE)),IF(VLOOKUP(O$6&amp;$C20,'◆（運営）③結果入力'!$E$16:$K$345,7,FALSE)="","",VLOOKUP(O$6&amp;$C20,'◆（運営）③結果入力'!$E$16:$K$345,7,FALSE)),IF(VLOOKUP(O$6&amp;$C20,'◆（運営）③結果入力'!$D$16:$K$345,5,FALSE)="","",VLOOKUP(O$6&amp;$C20,'◆（運営）③結果入力'!$D$16:$K$345,5,FALSE))))</f>
      </c>
      <c r="AK20" s="337"/>
      <c r="AL20" s="338"/>
      <c r="AM20" s="339">
        <f aca="true" t="shared" si="24" ref="AM20:AM29">IF(COUNTBLANK(AA20:AL20)=12,"",IF(AO20&gt;0,"A120",IF(AP20&gt;0,"B120",MAX(AA20:AL20))))</f>
        <v>117</v>
      </c>
      <c r="AO20" s="335">
        <f aca="true" t="shared" si="25" ref="AO20:AO29">COUNTIF(AA20:AL20,"A120")</f>
        <v>0</v>
      </c>
      <c r="AP20" s="335">
        <f aca="true" t="shared" si="26" ref="AP20:AP29">COUNTIF(AA20:AL20,"B120")</f>
        <v>0</v>
      </c>
      <c r="AQ20" s="335">
        <f aca="true" t="shared" si="27" ref="AQ20:AQ29">SUM(AA20:AL20)</f>
        <v>227</v>
      </c>
      <c r="AR20" s="335">
        <f aca="true" t="shared" si="28" ref="AR20:AR29">AO20*1000000+AP20*10000+AQ20</f>
        <v>227</v>
      </c>
      <c r="AS20" s="335">
        <f aca="true" t="shared" si="29" ref="AS20:AS29">RANK(AR20,$AR$7:$AR$68,0)</f>
        <v>6</v>
      </c>
    </row>
    <row r="21" spans="1:45" ht="12" customHeight="1">
      <c r="A21" s="274">
        <v>2</v>
      </c>
      <c r="B21" s="315" t="str">
        <f t="shared" si="15"/>
        <v>愛知</v>
      </c>
      <c r="C21" s="316" t="str">
        <f>IF(B21="","",VLOOKUP(B21,'ブロック表'!$C$4:$N$15,5,FALSE))</f>
        <v>櫻井 崇之</v>
      </c>
      <c r="D21" s="317"/>
      <c r="E21" s="318"/>
      <c r="F21" s="319">
        <f>IF(ISERROR(VLOOKUP(F$6&amp;$C21,'◆（運営）③結果入力'!$D$16:$I$345,6,FALSE)),IF(VLOOKUP(F$6&amp;$C21,'◆（運営）③結果入力'!$E$16:$J$345,6,FALSE)="","",VLOOKUP(F$6&amp;$C21,'◆（運営）③結果入力'!$E$16:$J$345,6,FALSE)),IF(VLOOKUP(F$6&amp;$C21,'◆（運営）③結果入力'!$D$16:$I$345,6,FALSE)="","",VLOOKUP(F$6&amp;$C21,'◆（運営）③結果入力'!$D$16:$I$345,6,FALSE)))</f>
        <v>32</v>
      </c>
      <c r="G21" s="383"/>
      <c r="H21" s="320">
        <f>IF(ISERROR(VLOOKUP(H$6&amp;$C21,'◆（運営）③結果入力'!$D$16:$I$345,6,FALSE)),IF(VLOOKUP(H$6&amp;$C21,'◆（運営）③結果入力'!$E$16:$J$345,6,FALSE)="","",VLOOKUP(H$6&amp;$C21,'◆（運営）③結果入力'!$E$16:$J$345,6,FALSE)),IF(VLOOKUP(H$6&amp;$C21,'◆（運営）③結果入力'!$D$16:$I$345,6,FALSE)="","",VLOOKUP(H$6&amp;$C21,'◆（運営）③結果入力'!$D$16:$I$345,6,FALSE)))</f>
        <v>100</v>
      </c>
      <c r="I21" s="320">
        <f>IF(ISERROR(VLOOKUP(I$6&amp;$C21,'◆（運営）③結果入力'!$D$16:$I$345,6,FALSE)),IF(VLOOKUP(I$6&amp;$C21,'◆（運営）③結果入力'!$E$16:$J$345,6,FALSE)="","",VLOOKUP(I$6&amp;$C21,'◆（運営）③結果入力'!$E$16:$J$345,6,FALSE)),IF(VLOOKUP(I$6&amp;$C21,'◆（運営）③結果入力'!$D$16:$I$345,6,FALSE)="","",VLOOKUP(I$6&amp;$C21,'◆（運営）③結果入力'!$D$16:$I$345,6,FALSE)))</f>
        <v>78</v>
      </c>
      <c r="J21" s="320">
        <f>IF(ISERROR(VLOOKUP(J$6&amp;$C21,'◆（運営）③結果入力'!$D$16:$I$345,6,FALSE)),IF(VLOOKUP(J$6&amp;$C21,'◆（運営）③結果入力'!$E$16:$J$345,6,FALSE)="","",VLOOKUP(J$6&amp;$C21,'◆（運営）③結果入力'!$E$16:$J$345,6,FALSE)),IF(VLOOKUP(J$6&amp;$C21,'◆（運営）③結果入力'!$D$16:$I$345,6,FALSE)="","",VLOOKUP(J$6&amp;$C21,'◆（運営）③結果入力'!$D$16:$I$345,6,FALSE)))</f>
        <v>92</v>
      </c>
      <c r="K21" s="320">
        <f>IF(ISERROR(VLOOKUP(K$6&amp;$C21,'◆（運営）③結果入力'!$D$16:$I$345,6,FALSE)),IF(VLOOKUP(K$6&amp;$C21,'◆（運営）③結果入力'!$E$16:$J$345,6,FALSE)="","",VLOOKUP(K$6&amp;$C21,'◆（運営）③結果入力'!$E$16:$J$345,6,FALSE)),IF(VLOOKUP(K$6&amp;$C21,'◆（運営）③結果入力'!$D$16:$I$345,6,FALSE)="","",VLOOKUP(K$6&amp;$C21,'◆（運営）③結果入力'!$D$16:$I$345,6,FALSE)))</f>
        <v>107</v>
      </c>
      <c r="L21" s="320">
        <f>IF(ISERROR(VLOOKUP(L$6&amp;$C21,'◆（運営）③結果入力'!$D$16:$I$345,6,FALSE)),IF(VLOOKUP(L$6&amp;$C21,'◆（運営）③結果入力'!$E$16:$J$345,6,FALSE)="","",VLOOKUP(L$6&amp;$C21,'◆（運営）③結果入力'!$E$16:$J$345,6,FALSE)),IF(VLOOKUP(L$6&amp;$C21,'◆（運営）③結果入力'!$D$16:$I$345,6,FALSE)="","",VLOOKUP(L$6&amp;$C21,'◆（運営）③結果入力'!$D$16:$I$345,6,FALSE)))</f>
        <v>55</v>
      </c>
      <c r="M21" s="320">
        <f>IF(ISERROR(VLOOKUP(M$6&amp;$C21,'◆（運営）③結果入力'!$D$16:$I$345,6,FALSE)),IF(VLOOKUP(M$6&amp;$C21,'◆（運営）③結果入力'!$E$16:$J$345,6,FALSE)="","",VLOOKUP(M$6&amp;$C21,'◆（運営）③結果入力'!$E$16:$J$345,6,FALSE)),IF(VLOOKUP(M$6&amp;$C21,'◆（運営）③結果入力'!$D$16:$I$345,6,FALSE)="","",VLOOKUP(M$6&amp;$C21,'◆（運営）③結果入力'!$D$16:$I$345,6,FALSE)))</f>
        <v>54</v>
      </c>
      <c r="N21" s="320" t="str">
        <f>IF(ISERROR(VLOOKUP(N$6&amp;$C21,'◆（運営）③結果入力'!$D$16:$I$345,6,FALSE)),IF(VLOOKUP(N$6&amp;$C21,'◆（運営）③結果入力'!$E$16:$J$345,6,FALSE)="","",VLOOKUP(N$6&amp;$C21,'◆（運営）③結果入力'!$E$16:$J$345,6,FALSE)),IF(VLOOKUP(N$6&amp;$C21,'◆（運営）③結果入力'!$D$16:$I$345,6,FALSE)="","",VLOOKUP(N$6&amp;$C21,'◆（運営）③結果入力'!$D$16:$I$345,6,FALSE)))</f>
        <v>W</v>
      </c>
      <c r="O21" s="320" t="str">
        <f>IF(O19="","",IF(ISERROR(VLOOKUP(O$6&amp;$C21,'◆（運営）③結果入力'!$D$16:$I$345,6,FALSE)),IF(VLOOKUP(O$6&amp;$C21,'◆（運営）③結果入力'!$E$16:$J$345,6,FALSE)="","",VLOOKUP(O$6&amp;$C21,'◆（運営）③結果入力'!$E$16:$J$345,6,FALSE)),IF(VLOOKUP(O$6&amp;$C21,'◆（運営）③結果入力'!$D$16:$I$345,6,FALSE)="","",VLOOKUP(O$6&amp;$C21,'◆（運営）③結果入力'!$D$16:$I$345,6,FALSE))))</f>
        <v>W</v>
      </c>
      <c r="P21" s="340">
        <f t="shared" si="16"/>
        <v>2</v>
      </c>
      <c r="Q21" s="200">
        <f t="shared" si="17"/>
        <v>7</v>
      </c>
      <c r="R21" s="341">
        <f t="shared" si="18"/>
        <v>758</v>
      </c>
      <c r="S21" s="341">
        <f>IF(COUNTBLANK(F21:O21)=10,"",SUM(G20:G29)+(Q21*120))</f>
        <v>955</v>
      </c>
      <c r="T21" s="303">
        <f>IF(COUNTBLANK(F21:O21)=10,"",IF(P21+Q21=0,"",RANK(W21,$W$20:$W$29,0)))</f>
        <v>9</v>
      </c>
      <c r="U21" s="276">
        <f t="shared" si="19"/>
        <v>9</v>
      </c>
      <c r="V21" s="276">
        <f t="shared" si="20"/>
        <v>0</v>
      </c>
      <c r="W21" s="276">
        <f t="shared" si="21"/>
        <v>207579045</v>
      </c>
      <c r="X21" s="276">
        <f>IF(W21=0,"",IF(W21=MAX($W$8,$W$21,$W$34,$W$47,$W$60),1,""))</f>
      </c>
      <c r="Y21" s="276" t="str">
        <f t="shared" si="22"/>
        <v>愛知</v>
      </c>
      <c r="Z21" s="276" t="str">
        <f t="shared" si="23"/>
        <v>櫻井 崇之</v>
      </c>
      <c r="AA21" s="342">
        <f>IF(ISERROR(VLOOKUP(F$6&amp;$C21,'◆（運営）③結果入力'!$D$16:$K$345,5,FALSE)),IF(VLOOKUP(F$6&amp;$C21,'◆（運営）③結果入力'!$E$16:$K$345,7,FALSE)="","",VLOOKUP(F$6&amp;$C21,'◆（運営）③結果入力'!$E$16:$K$345,7,FALSE)),IF(VLOOKUP(F$6&amp;$C21,'◆（運営）③結果入力'!$D$16:$K$345,5,FALSE)="","",VLOOKUP(F$6&amp;$C21,'◆（運営）③結果入力'!$D$16:$K$345,5,FALSE)))</f>
      </c>
      <c r="AB21" s="386"/>
      <c r="AC21" s="343">
        <f>IF(ISERROR(VLOOKUP(H$6&amp;$C21,'◆（運営）③結果入力'!$D$16:$K$345,5,FALSE)),IF(VLOOKUP(H$6&amp;$C21,'◆（運営）③結果入力'!$E$16:$K$345,7,FALSE)="","",VLOOKUP(H$6&amp;$C21,'◆（運営）③結果入力'!$E$16:$K$345,7,FALSE)),IF(VLOOKUP(H$6&amp;$C21,'◆（運営）③結果入力'!$D$16:$K$345,5,FALSE)="","",VLOOKUP(H$6&amp;$C21,'◆（運営）③結果入力'!$D$16:$K$345,5,FALSE)))</f>
      </c>
      <c r="AD21" s="343">
        <f>IF(ISERROR(VLOOKUP(I$6&amp;$C21,'◆（運営）③結果入力'!$D$16:$K$345,5,FALSE)),IF(VLOOKUP(I$6&amp;$C21,'◆（運営）③結果入力'!$E$16:$K$345,7,FALSE)="","",VLOOKUP(I$6&amp;$C21,'◆（運営）③結果入力'!$E$16:$K$345,7,FALSE)),IF(VLOOKUP(I$6&amp;$C21,'◆（運営）③結果入力'!$D$16:$K$345,5,FALSE)="","",VLOOKUP(I$6&amp;$C21,'◆（運営）③結果入力'!$D$16:$K$345,5,FALSE)))</f>
      </c>
      <c r="AE21" s="343">
        <f>IF(ISERROR(VLOOKUP(J$6&amp;$C21,'◆（運営）③結果入力'!$D$16:$K$345,5,FALSE)),IF(VLOOKUP(J$6&amp;$C21,'◆（運営）③結果入力'!$E$16:$K$345,7,FALSE)="","",VLOOKUP(J$6&amp;$C21,'◆（運営）③結果入力'!$E$16:$K$345,7,FALSE)),IF(VLOOKUP(J$6&amp;$C21,'◆（運営）③結果入力'!$D$16:$K$345,5,FALSE)="","",VLOOKUP(J$6&amp;$C21,'◆（運営）③結果入力'!$D$16:$K$345,5,FALSE)))</f>
      </c>
      <c r="AF21" s="343">
        <f>IF(ISERROR(VLOOKUP(K$6&amp;$C21,'◆（運営）③結果入力'!$D$16:$K$345,5,FALSE)),IF(VLOOKUP(K$6&amp;$C21,'◆（運営）③結果入力'!$E$16:$K$345,7,FALSE)="","",VLOOKUP(K$6&amp;$C21,'◆（運営）③結果入力'!$E$16:$K$345,7,FALSE)),IF(VLOOKUP(K$6&amp;$C21,'◆（運営）③結果入力'!$D$16:$K$345,5,FALSE)="","",VLOOKUP(K$6&amp;$C21,'◆（運営）③結果入力'!$D$16:$K$345,5,FALSE)))</f>
      </c>
      <c r="AG21" s="343">
        <f>IF(ISERROR(VLOOKUP(L$6&amp;$C21,'◆（運営）③結果入力'!$D$16:$K$345,5,FALSE)),IF(VLOOKUP(L$6&amp;$C21,'◆（運営）③結果入力'!$E$16:$K$345,7,FALSE)="","",VLOOKUP(L$6&amp;$C21,'◆（運営）③結果入力'!$E$16:$K$345,7,FALSE)),IF(VLOOKUP(L$6&amp;$C21,'◆（運営）③結果入力'!$D$16:$K$345,5,FALSE)="","",VLOOKUP(L$6&amp;$C21,'◆（運営）③結果入力'!$D$16:$K$345,5,FALSE)))</f>
      </c>
      <c r="AH21" s="343">
        <f>IF(ISERROR(VLOOKUP(M$6&amp;$C21,'◆（運営）③結果入力'!$D$16:$K$345,5,FALSE)),IF(VLOOKUP(M$6&amp;$C21,'◆（運営）③結果入力'!$E$16:$K$345,7,FALSE)="","",VLOOKUP(M$6&amp;$C21,'◆（運営）③結果入力'!$E$16:$K$345,7,FALSE)),IF(VLOOKUP(M$6&amp;$C21,'◆（運営）③結果入力'!$D$16:$K$345,5,FALSE)="","",VLOOKUP(M$6&amp;$C21,'◆（運営）③結果入力'!$D$16:$K$345,5,FALSE)))</f>
      </c>
      <c r="AI21" s="343">
        <f>IF(ISERROR(VLOOKUP(N$6&amp;$C21,'◆（運営）③結果入力'!$D$16:$K$345,5,FALSE)),IF(VLOOKUP(N$6&amp;$C21,'◆（運営）③結果入力'!$E$16:$K$345,7,FALSE)="","",VLOOKUP(N$6&amp;$C21,'◆（運営）③結果入力'!$E$16:$K$345,7,FALSE)),IF(VLOOKUP(N$6&amp;$C21,'◆（運営）③結果入力'!$D$16:$K$345,5,FALSE)="","",VLOOKUP(N$6&amp;$C21,'◆（運営）③結果入力'!$D$16:$K$345,5,FALSE)))</f>
      </c>
      <c r="AJ21" s="343">
        <f>IF(O19="","",IF(ISERROR(VLOOKUP(O$6&amp;$C21,'◆（運営）③結果入力'!$D$16:$K$345,5,FALSE)),IF(VLOOKUP(O$6&amp;$C21,'◆（運営）③結果入力'!$E$16:$K$345,7,FALSE)="","",VLOOKUP(O$6&amp;$C21,'◆（運営）③結果入力'!$E$16:$K$345,7,FALSE)),IF(VLOOKUP(O$6&amp;$C21,'◆（運営）③結果入力'!$D$16:$K$345,5,FALSE)="","",VLOOKUP(O$6&amp;$C21,'◆（運営）③結果入力'!$D$16:$K$345,5,FALSE))))</f>
      </c>
      <c r="AK21" s="343"/>
      <c r="AL21" s="344"/>
      <c r="AM21" s="345">
        <f t="shared" si="24"/>
      </c>
      <c r="AO21" s="335">
        <f t="shared" si="25"/>
        <v>0</v>
      </c>
      <c r="AP21" s="335">
        <f t="shared" si="26"/>
        <v>0</v>
      </c>
      <c r="AQ21" s="335">
        <f t="shared" si="27"/>
        <v>0</v>
      </c>
      <c r="AR21" s="335">
        <f t="shared" si="28"/>
        <v>0</v>
      </c>
      <c r="AS21" s="335">
        <f t="shared" si="29"/>
        <v>17</v>
      </c>
    </row>
    <row r="22" spans="1:45" ht="12" customHeight="1">
      <c r="A22" s="274">
        <v>3</v>
      </c>
      <c r="B22" s="315" t="str">
        <f t="shared" si="15"/>
        <v>京都</v>
      </c>
      <c r="C22" s="316" t="str">
        <f>IF(B22="","",VLOOKUP(B22,'ブロック表'!$C$4:$N$15,5,FALSE))</f>
        <v>田附 裕次</v>
      </c>
      <c r="D22" s="317"/>
      <c r="E22" s="318"/>
      <c r="F22" s="319" t="str">
        <f>IF(ISERROR(VLOOKUP(F$6&amp;$C22,'◆（運営）③結果入力'!$D$16:$I$345,6,FALSE)),IF(VLOOKUP(F$6&amp;$C22,'◆（運営）③結果入力'!$E$16:$J$345,6,FALSE)="","",VLOOKUP(F$6&amp;$C22,'◆（運営）③結果入力'!$E$16:$J$345,6,FALSE)),IF(VLOOKUP(F$6&amp;$C22,'◆（運営）③結果入力'!$D$16:$I$345,6,FALSE)="","",VLOOKUP(F$6&amp;$C22,'◆（運営）③結果入力'!$D$16:$I$345,6,FALSE)))</f>
        <v>W</v>
      </c>
      <c r="G22" s="320" t="str">
        <f>IF(ISERROR(VLOOKUP(G$6&amp;$C22,'◆（運営）③結果入力'!$D$16:$I$345,6,FALSE)),IF(VLOOKUP(G$6&amp;$C22,'◆（運営）③結果入力'!$E$16:$J$345,6,FALSE)="","",VLOOKUP(G$6&amp;$C22,'◆（運営）③結果入力'!$E$16:$J$345,6,FALSE)),IF(VLOOKUP(G$6&amp;$C22,'◆（運営）③結果入力'!$D$16:$I$345,6,FALSE)="","",VLOOKUP(G$6&amp;$C22,'◆（運営）③結果入力'!$D$16:$I$345,6,FALSE)))</f>
        <v>W</v>
      </c>
      <c r="H22" s="383"/>
      <c r="I22" s="320" t="str">
        <f>IF(ISERROR(VLOOKUP(I$6&amp;$C22,'◆（運営）③結果入力'!$D$16:$I$345,6,FALSE)),IF(VLOOKUP(I$6&amp;$C22,'◆（運営）③結果入力'!$E$16:$J$345,6,FALSE)="","",VLOOKUP(I$6&amp;$C22,'◆（運営）③結果入力'!$E$16:$J$345,6,FALSE)),IF(VLOOKUP(I$6&amp;$C22,'◆（運営）③結果入力'!$D$16:$I$345,6,FALSE)="","",VLOOKUP(I$6&amp;$C22,'◆（運営）③結果入力'!$D$16:$I$345,6,FALSE)))</f>
        <v>W</v>
      </c>
      <c r="J22" s="320" t="str">
        <f>IF(ISERROR(VLOOKUP(J$6&amp;$C22,'◆（運営）③結果入力'!$D$16:$I$345,6,FALSE)),IF(VLOOKUP(J$6&amp;$C22,'◆（運営）③結果入力'!$E$16:$J$345,6,FALSE)="","",VLOOKUP(J$6&amp;$C22,'◆（運営）③結果入力'!$E$16:$J$345,6,FALSE)),IF(VLOOKUP(J$6&amp;$C22,'◆（運営）③結果入力'!$D$16:$I$345,6,FALSE)="","",VLOOKUP(J$6&amp;$C22,'◆（運営）③結果入力'!$D$16:$I$345,6,FALSE)))</f>
        <v>W</v>
      </c>
      <c r="K22" s="320">
        <f>IF(ISERROR(VLOOKUP(K$6&amp;$C22,'◆（運営）③結果入力'!$D$16:$I$345,6,FALSE)),IF(VLOOKUP(K$6&amp;$C22,'◆（運営）③結果入力'!$E$16:$J$345,6,FALSE)="","",VLOOKUP(K$6&amp;$C22,'◆（運営）③結果入力'!$E$16:$J$345,6,FALSE)),IF(VLOOKUP(K$6&amp;$C22,'◆（運営）③結果入力'!$D$16:$I$345,6,FALSE)="","",VLOOKUP(K$6&amp;$C22,'◆（運営）③結果入力'!$D$16:$I$345,6,FALSE)))</f>
        <v>68</v>
      </c>
      <c r="L22" s="320" t="str">
        <f>IF(ISERROR(VLOOKUP(L$6&amp;$C22,'◆（運営）③結果入力'!$D$16:$I$345,6,FALSE)),IF(VLOOKUP(L$6&amp;$C22,'◆（運営）③結果入力'!$E$16:$J$345,6,FALSE)="","",VLOOKUP(L$6&amp;$C22,'◆（運営）③結果入力'!$E$16:$J$345,6,FALSE)),IF(VLOOKUP(L$6&amp;$C22,'◆（運営）③結果入力'!$D$16:$I$345,6,FALSE)="","",VLOOKUP(L$6&amp;$C22,'◆（運営）③結果入力'!$D$16:$I$345,6,FALSE)))</f>
        <v>W</v>
      </c>
      <c r="M22" s="320" t="str">
        <f>IF(ISERROR(VLOOKUP(M$6&amp;$C22,'◆（運営）③結果入力'!$D$16:$I$345,6,FALSE)),IF(VLOOKUP(M$6&amp;$C22,'◆（運営）③結果入力'!$E$16:$J$345,6,FALSE)="","",VLOOKUP(M$6&amp;$C22,'◆（運営）③結果入力'!$E$16:$J$345,6,FALSE)),IF(VLOOKUP(M$6&amp;$C22,'◆（運営）③結果入力'!$D$16:$I$345,6,FALSE)="","",VLOOKUP(M$6&amp;$C22,'◆（運営）③結果入力'!$D$16:$I$345,6,FALSE)))</f>
        <v>W</v>
      </c>
      <c r="N22" s="320" t="str">
        <f>IF(ISERROR(VLOOKUP(N$6&amp;$C22,'◆（運営）③結果入力'!$D$16:$I$345,6,FALSE)),IF(VLOOKUP(N$6&amp;$C22,'◆（運営）③結果入力'!$E$16:$J$345,6,FALSE)="","",VLOOKUP(N$6&amp;$C22,'◆（運営）③結果入力'!$E$16:$J$345,6,FALSE)),IF(VLOOKUP(N$6&amp;$C22,'◆（運営）③結果入力'!$D$16:$I$345,6,FALSE)="","",VLOOKUP(N$6&amp;$C22,'◆（運営）③結果入力'!$D$16:$I$345,6,FALSE)))</f>
        <v>W</v>
      </c>
      <c r="O22" s="320">
        <f>IF(O19="","",IF(ISERROR(VLOOKUP(O$6&amp;$C22,'◆（運営）③結果入力'!$D$16:$I$345,6,FALSE)),IF(VLOOKUP(O$6&amp;$C22,'◆（運営）③結果入力'!$E$16:$J$345,6,FALSE)="","",VLOOKUP(O$6&amp;$C22,'◆（運営）③結果入力'!$E$16:$J$345,6,FALSE)),IF(VLOOKUP(O$6&amp;$C22,'◆（運営）③結果入力'!$D$16:$I$345,6,FALSE)="","",VLOOKUP(O$6&amp;$C22,'◆（運営）③結果入力'!$D$16:$I$345,6,FALSE))))</f>
        <v>105</v>
      </c>
      <c r="P22" s="340">
        <f t="shared" si="16"/>
        <v>7</v>
      </c>
      <c r="Q22" s="200">
        <f t="shared" si="17"/>
        <v>2</v>
      </c>
      <c r="R22" s="341">
        <f t="shared" si="18"/>
        <v>1013</v>
      </c>
      <c r="S22" s="341">
        <f>IF(COUNTBLANK(F22:O22)=10,"",SUM(H20:H29)+(Q22*120))</f>
        <v>678</v>
      </c>
      <c r="T22" s="303">
        <f>IF(COUNTBLANK(F22:O22)=10,"",IF(P22+Q22=0,"",RANK(W22,$W$20:$W$29,0)))</f>
        <v>1</v>
      </c>
      <c r="U22" s="276">
        <f t="shared" si="19"/>
        <v>9</v>
      </c>
      <c r="V22" s="276">
        <f t="shared" si="20"/>
        <v>0</v>
      </c>
      <c r="W22" s="276">
        <f t="shared" si="21"/>
        <v>710129322</v>
      </c>
      <c r="X22" s="276">
        <f>IF(W22=0,"",IF(W22=MAX($W$9,$W$22,$W$35,$W$48,$W$61),1,""))</f>
        <v>1</v>
      </c>
      <c r="Y22" s="276" t="str">
        <f t="shared" si="22"/>
        <v>1京都</v>
      </c>
      <c r="Z22" s="276" t="str">
        <f t="shared" si="23"/>
        <v>田附 裕次</v>
      </c>
      <c r="AA22" s="342">
        <f>IF(ISERROR(VLOOKUP(F$6&amp;$C22,'◆（運営）③結果入力'!$D$16:$K$345,5,FALSE)),IF(VLOOKUP(F$6&amp;$C22,'◆（運営）③結果入力'!$E$16:$K$345,7,FALSE)="","",VLOOKUP(F$6&amp;$C22,'◆（運営）③結果入力'!$E$16:$K$345,7,FALSE)),IF(VLOOKUP(F$6&amp;$C22,'◆（運営）③結果入力'!$D$16:$K$345,5,FALSE)="","",VLOOKUP(F$6&amp;$C22,'◆（運営）③結果入力'!$D$16:$K$345,5,FALSE)))</f>
      </c>
      <c r="AB22" s="343">
        <f>IF(ISERROR(VLOOKUP(G$6&amp;$C22,'◆（運営）③結果入力'!$D$16:$K$345,5,FALSE)),IF(VLOOKUP(G$6&amp;$C22,'◆（運営）③結果入力'!$E$16:$K$345,7,FALSE)="","",VLOOKUP(G$6&amp;$C22,'◆（運営）③結果入力'!$E$16:$K$345,7,FALSE)),IF(VLOOKUP(G$6&amp;$C22,'◆（運営）③結果入力'!$D$16:$K$345,5,FALSE)="","",VLOOKUP(G$6&amp;$C22,'◆（運営）③結果入力'!$D$16:$K$345,5,FALSE)))</f>
      </c>
      <c r="AC22" s="386"/>
      <c r="AD22" s="343">
        <f>IF(ISERROR(VLOOKUP(I$6&amp;$C22,'◆（運営）③結果入力'!$D$16:$K$345,5,FALSE)),IF(VLOOKUP(I$6&amp;$C22,'◆（運営）③結果入力'!$E$16:$K$345,7,FALSE)="","",VLOOKUP(I$6&amp;$C22,'◆（運営）③結果入力'!$E$16:$K$345,7,FALSE)),IF(VLOOKUP(I$6&amp;$C22,'◆（運営）③結果入力'!$D$16:$K$345,5,FALSE)="","",VLOOKUP(I$6&amp;$C22,'◆（運営）③結果入力'!$D$16:$K$345,5,FALSE)))</f>
      </c>
      <c r="AE22" s="343">
        <f>IF(ISERROR(VLOOKUP(J$6&amp;$C22,'◆（運営）③結果入力'!$D$16:$K$345,5,FALSE)),IF(VLOOKUP(J$6&amp;$C22,'◆（運営）③結果入力'!$E$16:$K$345,7,FALSE)="","",VLOOKUP(J$6&amp;$C22,'◆（運営）③結果入力'!$E$16:$K$345,7,FALSE)),IF(VLOOKUP(J$6&amp;$C22,'◆（運営）③結果入力'!$D$16:$K$345,5,FALSE)="","",VLOOKUP(J$6&amp;$C22,'◆（運営）③結果入力'!$D$16:$K$345,5,FALSE)))</f>
      </c>
      <c r="AF22" s="343">
        <f>IF(ISERROR(VLOOKUP(K$6&amp;$C22,'◆（運営）③結果入力'!$D$16:$K$345,5,FALSE)),IF(VLOOKUP(K$6&amp;$C22,'◆（運営）③結果入力'!$E$16:$K$345,7,FALSE)="","",VLOOKUP(K$6&amp;$C22,'◆（運営）③結果入力'!$E$16:$K$345,7,FALSE)),IF(VLOOKUP(K$6&amp;$C22,'◆（運営）③結果入力'!$D$16:$K$345,5,FALSE)="","",VLOOKUP(K$6&amp;$C22,'◆（運営）③結果入力'!$D$16:$K$345,5,FALSE)))</f>
      </c>
      <c r="AG22" s="343">
        <f>IF(ISERROR(VLOOKUP(L$6&amp;$C22,'◆（運営）③結果入力'!$D$16:$K$345,5,FALSE)),IF(VLOOKUP(L$6&amp;$C22,'◆（運営）③結果入力'!$E$16:$K$345,7,FALSE)="","",VLOOKUP(L$6&amp;$C22,'◆（運営）③結果入力'!$E$16:$K$345,7,FALSE)),IF(VLOOKUP(L$6&amp;$C22,'◆（運営）③結果入力'!$D$16:$K$345,5,FALSE)="","",VLOOKUP(L$6&amp;$C22,'◆（運営）③結果入力'!$D$16:$K$345,5,FALSE)))</f>
      </c>
      <c r="AH22" s="343">
        <f>IF(ISERROR(VLOOKUP(M$6&amp;$C22,'◆（運営）③結果入力'!$D$16:$K$345,5,FALSE)),IF(VLOOKUP(M$6&amp;$C22,'◆（運営）③結果入力'!$E$16:$K$345,7,FALSE)="","",VLOOKUP(M$6&amp;$C22,'◆（運営）③結果入力'!$E$16:$K$345,7,FALSE)),IF(VLOOKUP(M$6&amp;$C22,'◆（運営）③結果入力'!$D$16:$K$345,5,FALSE)="","",VLOOKUP(M$6&amp;$C22,'◆（運営）③結果入力'!$D$16:$K$345,5,FALSE)))</f>
      </c>
      <c r="AI22" s="343">
        <f>IF(ISERROR(VLOOKUP(N$6&amp;$C22,'◆（運営）③結果入力'!$D$16:$K$345,5,FALSE)),IF(VLOOKUP(N$6&amp;$C22,'◆（運営）③結果入力'!$E$16:$K$345,7,FALSE)="","",VLOOKUP(N$6&amp;$C22,'◆（運営）③結果入力'!$E$16:$K$345,7,FALSE)),IF(VLOOKUP(N$6&amp;$C22,'◆（運営）③結果入力'!$D$16:$K$345,5,FALSE)="","",VLOOKUP(N$6&amp;$C22,'◆（運営）③結果入力'!$D$16:$K$345,5,FALSE)))</f>
      </c>
      <c r="AJ22" s="343">
        <f>IF(O19="","",IF(ISERROR(VLOOKUP(O$6&amp;$C22,'◆（運営）③結果入力'!$D$16:$K$345,5,FALSE)),IF(VLOOKUP(O$6&amp;$C22,'◆（運営）③結果入力'!$E$16:$K$345,7,FALSE)="","",VLOOKUP(O$6&amp;$C22,'◆（運営）③結果入力'!$E$16:$K$345,7,FALSE)),IF(VLOOKUP(O$6&amp;$C22,'◆（運営）③結果入力'!$D$16:$K$345,5,FALSE)="","",VLOOKUP(O$6&amp;$C22,'◆（運営）③結果入力'!$D$16:$K$345,5,FALSE))))</f>
      </c>
      <c r="AK22" s="343"/>
      <c r="AL22" s="344"/>
      <c r="AM22" s="345">
        <f t="shared" si="24"/>
      </c>
      <c r="AO22" s="335">
        <f t="shared" si="25"/>
        <v>0</v>
      </c>
      <c r="AP22" s="335">
        <f t="shared" si="26"/>
        <v>0</v>
      </c>
      <c r="AQ22" s="335">
        <f t="shared" si="27"/>
        <v>0</v>
      </c>
      <c r="AR22" s="335">
        <f t="shared" si="28"/>
        <v>0</v>
      </c>
      <c r="AS22" s="335">
        <f t="shared" si="29"/>
        <v>17</v>
      </c>
    </row>
    <row r="23" spans="1:45" ht="12" customHeight="1">
      <c r="A23" s="274">
        <v>4</v>
      </c>
      <c r="B23" s="315" t="str">
        <f t="shared" si="15"/>
        <v>大阪A</v>
      </c>
      <c r="C23" s="316" t="str">
        <f>IF(B23="","",VLOOKUP(B23,'ブロック表'!$C$4:$N$15,5,FALSE))</f>
        <v>山岡 修二</v>
      </c>
      <c r="D23" s="317"/>
      <c r="E23" s="318"/>
      <c r="F23" s="319">
        <f>IF(ISERROR(VLOOKUP(F$6&amp;$C23,'◆（運営）③結果入力'!$D$16:$I$345,6,FALSE)),IF(VLOOKUP(F$6&amp;$C23,'◆（運営）③結果入力'!$E$16:$J$345,6,FALSE)="","",VLOOKUP(F$6&amp;$C23,'◆（運営）③結果入力'!$E$16:$J$345,6,FALSE)),IF(VLOOKUP(F$6&amp;$C23,'◆（運営）③結果入力'!$D$16:$I$345,6,FALSE)="","",VLOOKUP(F$6&amp;$C23,'◆（運営）③結果入力'!$D$16:$I$345,6,FALSE)))</f>
        <v>45</v>
      </c>
      <c r="G23" s="320" t="str">
        <f>IF(ISERROR(VLOOKUP(G$6&amp;$C23,'◆（運営）③結果入力'!$D$16:$I$345,6,FALSE)),IF(VLOOKUP(G$6&amp;$C23,'◆（運営）③結果入力'!$E$16:$J$345,6,FALSE)="","",VLOOKUP(G$6&amp;$C23,'◆（運営）③結果入力'!$E$16:$J$345,6,FALSE)),IF(VLOOKUP(G$6&amp;$C23,'◆（運営）③結果入力'!$D$16:$I$345,6,FALSE)="","",VLOOKUP(G$6&amp;$C23,'◆（運営）③結果入力'!$D$16:$I$345,6,FALSE)))</f>
        <v>W</v>
      </c>
      <c r="H23" s="320">
        <f>IF(ISERROR(VLOOKUP(H$6&amp;$C23,'◆（運営）③結果入力'!$D$16:$I$345,6,FALSE)),IF(VLOOKUP(H$6&amp;$C23,'◆（運営）③結果入力'!$E$16:$J$345,6,FALSE)="","",VLOOKUP(H$6&amp;$C23,'◆（運営）③結果入力'!$E$16:$J$345,6,FALSE)),IF(VLOOKUP(H$6&amp;$C23,'◆（運営）③結果入力'!$D$16:$I$345,6,FALSE)="","",VLOOKUP(H$6&amp;$C23,'◆（運営）③結果入力'!$D$16:$I$345,6,FALSE)))</f>
        <v>55</v>
      </c>
      <c r="I23" s="383"/>
      <c r="J23" s="320">
        <f>IF(ISERROR(VLOOKUP(J$6&amp;$C23,'◆（運営）③結果入力'!$D$16:$I$345,6,FALSE)),IF(VLOOKUP(J$6&amp;$C23,'◆（運営）③結果入力'!$E$16:$J$345,6,FALSE)="","",VLOOKUP(J$6&amp;$C23,'◆（運営）③結果入力'!$E$16:$J$345,6,FALSE)),IF(VLOOKUP(J$6&amp;$C23,'◆（運営）③結果入力'!$D$16:$I$345,6,FALSE)="","",VLOOKUP(J$6&amp;$C23,'◆（運営）③結果入力'!$D$16:$I$345,6,FALSE)))</f>
        <v>39</v>
      </c>
      <c r="K23" s="320" t="str">
        <f>IF(ISERROR(VLOOKUP(K$6&amp;$C23,'◆（運営）③結果入力'!$D$16:$I$345,6,FALSE)),IF(VLOOKUP(K$6&amp;$C23,'◆（運営）③結果入力'!$E$16:$J$345,6,FALSE)="","",VLOOKUP(K$6&amp;$C23,'◆（運営）③結果入力'!$E$16:$J$345,6,FALSE)),IF(VLOOKUP(K$6&amp;$C23,'◆（運営）③結果入力'!$D$16:$I$345,6,FALSE)="","",VLOOKUP(K$6&amp;$C23,'◆（運営）③結果入力'!$D$16:$I$345,6,FALSE)))</f>
        <v>W</v>
      </c>
      <c r="L23" s="320" t="str">
        <f>IF(ISERROR(VLOOKUP(L$6&amp;$C23,'◆（運営）③結果入力'!$D$16:$I$345,6,FALSE)),IF(VLOOKUP(L$6&amp;$C23,'◆（運営）③結果入力'!$E$16:$J$345,6,FALSE)="","",VLOOKUP(L$6&amp;$C23,'◆（運営）③結果入力'!$E$16:$J$345,6,FALSE)),IF(VLOOKUP(L$6&amp;$C23,'◆（運営）③結果入力'!$D$16:$I$345,6,FALSE)="","",VLOOKUP(L$6&amp;$C23,'◆（運営）③結果入力'!$D$16:$I$345,6,FALSE)))</f>
        <v>W</v>
      </c>
      <c r="M23" s="320" t="str">
        <f>IF(ISERROR(VLOOKUP(M$6&amp;$C23,'◆（運営）③結果入力'!$D$16:$I$345,6,FALSE)),IF(VLOOKUP(M$6&amp;$C23,'◆（運営）③結果入力'!$E$16:$J$345,6,FALSE)="","",VLOOKUP(M$6&amp;$C23,'◆（運営）③結果入力'!$E$16:$J$345,6,FALSE)),IF(VLOOKUP(M$6&amp;$C23,'◆（運営）③結果入力'!$D$16:$I$345,6,FALSE)="","",VLOOKUP(M$6&amp;$C23,'◆（運営）③結果入力'!$D$16:$I$345,6,FALSE)))</f>
        <v>W</v>
      </c>
      <c r="N23" s="320" t="str">
        <f>IF(ISERROR(VLOOKUP(N$6&amp;$C23,'◆（運営）③結果入力'!$D$16:$I$345,6,FALSE)),IF(VLOOKUP(N$6&amp;$C23,'◆（運営）③結果入力'!$E$16:$J$345,6,FALSE)="","",VLOOKUP(N$6&amp;$C23,'◆（運営）③結果入力'!$E$16:$J$345,6,FALSE)),IF(VLOOKUP(N$6&amp;$C23,'◆（運営）③結果入力'!$D$16:$I$345,6,FALSE)="","",VLOOKUP(N$6&amp;$C23,'◆（運営）③結果入力'!$D$16:$I$345,6,FALSE)))</f>
        <v>W</v>
      </c>
      <c r="O23" s="320" t="str">
        <f>IF(O19="","",IF(ISERROR(VLOOKUP(O$6&amp;$C23,'◆（運営）③結果入力'!$D$16:$I$345,6,FALSE)),IF(VLOOKUP(O$6&amp;$C23,'◆（運営）③結果入力'!$E$16:$J$345,6,FALSE)="","",VLOOKUP(O$6&amp;$C23,'◆（運営）③結果入力'!$E$16:$J$345,6,FALSE)),IF(VLOOKUP(O$6&amp;$C23,'◆（運営）③結果入力'!$D$16:$I$345,6,FALSE)="","",VLOOKUP(O$6&amp;$C23,'◆（運営）③結果入力'!$D$16:$I$345,6,FALSE))))</f>
        <v>W</v>
      </c>
      <c r="P23" s="340">
        <f t="shared" si="16"/>
        <v>6</v>
      </c>
      <c r="Q23" s="200">
        <f t="shared" si="17"/>
        <v>3</v>
      </c>
      <c r="R23" s="341">
        <f t="shared" si="18"/>
        <v>859</v>
      </c>
      <c r="S23" s="341">
        <f>IF(COUNTBLANK(F23:O23)=10,"",SUM(I20:I29)+(Q23*120))</f>
        <v>701</v>
      </c>
      <c r="T23" s="303">
        <f>IF(COUNTBLANK(F23:O23)=10,"",IF(P23+Q23=0,"",RANK(W23,$W$20:$W$29,0)))</f>
        <v>3</v>
      </c>
      <c r="U23" s="276">
        <f t="shared" si="19"/>
        <v>9</v>
      </c>
      <c r="V23" s="276">
        <f t="shared" si="20"/>
        <v>0</v>
      </c>
      <c r="W23" s="276">
        <f t="shared" si="21"/>
        <v>608589299</v>
      </c>
      <c r="X23" s="276">
        <f>IF(W23=0,"",IF(W23=MAX($W$10,$W$23,$W$36,$W$49,$W$62),1,""))</f>
      </c>
      <c r="Y23" s="276" t="str">
        <f t="shared" si="22"/>
        <v>大阪A</v>
      </c>
      <c r="Z23" s="276" t="str">
        <f t="shared" si="23"/>
        <v>山岡 修二</v>
      </c>
      <c r="AA23" s="342">
        <f>IF(ISERROR(VLOOKUP(F$6&amp;$C23,'◆（運営）③結果入力'!$D$16:$K$345,5,FALSE)),IF(VLOOKUP(F$6&amp;$C23,'◆（運営）③結果入力'!$E$16:$K$345,7,FALSE)="","",VLOOKUP(F$6&amp;$C23,'◆（運営）③結果入力'!$E$16:$K$345,7,FALSE)),IF(VLOOKUP(F$6&amp;$C23,'◆（運営）③結果入力'!$D$16:$K$345,5,FALSE)="","",VLOOKUP(F$6&amp;$C23,'◆（運営）③結果入力'!$D$16:$K$345,5,FALSE)))</f>
      </c>
      <c r="AB23" s="343">
        <f>IF(ISERROR(VLOOKUP(G$6&amp;$C23,'◆（運営）③結果入力'!$D$16:$K$345,5,FALSE)),IF(VLOOKUP(G$6&amp;$C23,'◆（運営）③結果入力'!$E$16:$K$345,7,FALSE)="","",VLOOKUP(G$6&amp;$C23,'◆（運営）③結果入力'!$E$16:$K$345,7,FALSE)),IF(VLOOKUP(G$6&amp;$C23,'◆（運営）③結果入力'!$D$16:$K$345,5,FALSE)="","",VLOOKUP(G$6&amp;$C23,'◆（運営）③結果入力'!$D$16:$K$345,5,FALSE)))</f>
      </c>
      <c r="AC23" s="343">
        <f>IF(ISERROR(VLOOKUP(H$6&amp;$C23,'◆（運営）③結果入力'!$D$16:$K$345,5,FALSE)),IF(VLOOKUP(H$6&amp;$C23,'◆（運営）③結果入力'!$E$16:$K$345,7,FALSE)="","",VLOOKUP(H$6&amp;$C23,'◆（運営）③結果入力'!$E$16:$K$345,7,FALSE)),IF(VLOOKUP(H$6&amp;$C23,'◆（運営）③結果入力'!$D$16:$K$345,5,FALSE)="","",VLOOKUP(H$6&amp;$C23,'◆（運営）③結果入力'!$D$16:$K$345,5,FALSE)))</f>
      </c>
      <c r="AD23" s="386"/>
      <c r="AE23" s="343">
        <f>IF(ISERROR(VLOOKUP(J$6&amp;$C23,'◆（運営）③結果入力'!$D$16:$K$345,5,FALSE)),IF(VLOOKUP(J$6&amp;$C23,'◆（運営）③結果入力'!$E$16:$K$345,7,FALSE)="","",VLOOKUP(J$6&amp;$C23,'◆（運営）③結果入力'!$E$16:$K$345,7,FALSE)),IF(VLOOKUP(J$6&amp;$C23,'◆（運営）③結果入力'!$D$16:$K$345,5,FALSE)="","",VLOOKUP(J$6&amp;$C23,'◆（運営）③結果入力'!$D$16:$K$345,5,FALSE)))</f>
      </c>
      <c r="AF23" s="343">
        <f>IF(ISERROR(VLOOKUP(K$6&amp;$C23,'◆（運営）③結果入力'!$D$16:$K$345,5,FALSE)),IF(VLOOKUP(K$6&amp;$C23,'◆（運営）③結果入力'!$E$16:$K$345,7,FALSE)="","",VLOOKUP(K$6&amp;$C23,'◆（運営）③結果入力'!$E$16:$K$345,7,FALSE)),IF(VLOOKUP(K$6&amp;$C23,'◆（運営）③結果入力'!$D$16:$K$345,5,FALSE)="","",VLOOKUP(K$6&amp;$C23,'◆（運営）③結果入力'!$D$16:$K$345,5,FALSE)))</f>
      </c>
      <c r="AG23" s="343" t="str">
        <f>IF(ISERROR(VLOOKUP(L$6&amp;$C23,'◆（運営）③結果入力'!$D$16:$K$345,5,FALSE)),IF(VLOOKUP(L$6&amp;$C23,'◆（運営）③結果入力'!$E$16:$K$345,7,FALSE)="","",VLOOKUP(L$6&amp;$C23,'◆（運営）③結果入力'!$E$16:$K$345,7,FALSE)),IF(VLOOKUP(L$6&amp;$C23,'◆（運営）③結果入力'!$D$16:$K$345,5,FALSE)="","",VLOOKUP(L$6&amp;$C23,'◆（運営）③結果入力'!$D$16:$K$345,5,FALSE)))</f>
        <v>B120</v>
      </c>
      <c r="AH23" s="343">
        <f>IF(ISERROR(VLOOKUP(M$6&amp;$C23,'◆（運営）③結果入力'!$D$16:$K$345,5,FALSE)),IF(VLOOKUP(M$6&amp;$C23,'◆（運営）③結果入力'!$E$16:$K$345,7,FALSE)="","",VLOOKUP(M$6&amp;$C23,'◆（運営）③結果入力'!$E$16:$K$345,7,FALSE)),IF(VLOOKUP(M$6&amp;$C23,'◆（運営）③結果入力'!$D$16:$K$345,5,FALSE)="","",VLOOKUP(M$6&amp;$C23,'◆（運営）③結果入力'!$D$16:$K$345,5,FALSE)))</f>
      </c>
      <c r="AI23" s="343">
        <f>IF(ISERROR(VLOOKUP(N$6&amp;$C23,'◆（運営）③結果入力'!$D$16:$K$345,5,FALSE)),IF(VLOOKUP(N$6&amp;$C23,'◆（運営）③結果入力'!$E$16:$K$345,7,FALSE)="","",VLOOKUP(N$6&amp;$C23,'◆（運営）③結果入力'!$E$16:$K$345,7,FALSE)),IF(VLOOKUP(N$6&amp;$C23,'◆（運営）③結果入力'!$D$16:$K$345,5,FALSE)="","",VLOOKUP(N$6&amp;$C23,'◆（運営）③結果入力'!$D$16:$K$345,5,FALSE)))</f>
      </c>
      <c r="AJ23" s="343">
        <f>IF(O19="","",IF(ISERROR(VLOOKUP(O$6&amp;$C23,'◆（運営）③結果入力'!$D$16:$K$345,5,FALSE)),IF(VLOOKUP(O$6&amp;$C23,'◆（運営）③結果入力'!$E$16:$K$345,7,FALSE)="","",VLOOKUP(O$6&amp;$C23,'◆（運営）③結果入力'!$E$16:$K$345,7,FALSE)),IF(VLOOKUP(O$6&amp;$C23,'◆（運営）③結果入力'!$D$16:$K$345,5,FALSE)="","",VLOOKUP(O$6&amp;$C23,'◆（運営）③結果入力'!$D$16:$K$345,5,FALSE))))</f>
      </c>
      <c r="AK23" s="343"/>
      <c r="AL23" s="344"/>
      <c r="AM23" s="345" t="str">
        <f t="shared" si="24"/>
        <v>B120</v>
      </c>
      <c r="AO23" s="335">
        <f t="shared" si="25"/>
        <v>0</v>
      </c>
      <c r="AP23" s="335">
        <f t="shared" si="26"/>
        <v>1</v>
      </c>
      <c r="AQ23" s="335">
        <f t="shared" si="27"/>
        <v>0</v>
      </c>
      <c r="AR23" s="335">
        <f t="shared" si="28"/>
        <v>10000</v>
      </c>
      <c r="AS23" s="335">
        <f t="shared" si="29"/>
        <v>3</v>
      </c>
    </row>
    <row r="24" spans="1:45" ht="12" customHeight="1">
      <c r="A24" s="274">
        <v>5</v>
      </c>
      <c r="B24" s="315" t="str">
        <f t="shared" si="15"/>
        <v>和歌山</v>
      </c>
      <c r="C24" s="316" t="str">
        <f>IF(B24="","",VLOOKUP(B24,'ブロック表'!$C$4:$N$15,5,FALSE))</f>
        <v>末岡 修</v>
      </c>
      <c r="D24" s="317"/>
      <c r="E24" s="318"/>
      <c r="F24" s="319">
        <f>IF(ISERROR(VLOOKUP(F$6&amp;$C24,'◆（運営）③結果入力'!$D$16:$I$345,6,FALSE)),IF(VLOOKUP(F$6&amp;$C24,'◆（運営）③結果入力'!$E$16:$J$345,6,FALSE)="","",VLOOKUP(F$6&amp;$C24,'◆（運営）③結果入力'!$E$16:$J$345,6,FALSE)),IF(VLOOKUP(F$6&amp;$C24,'◆（運営）③結果入力'!$D$16:$I$345,6,FALSE)="","",VLOOKUP(F$6&amp;$C24,'◆（運営）③結果入力'!$D$16:$I$345,6,FALSE)))</f>
        <v>112</v>
      </c>
      <c r="G24" s="320" t="str">
        <f>IF(ISERROR(VLOOKUP(G$6&amp;$C24,'◆（運営）③結果入力'!$D$16:$I$345,6,FALSE)),IF(VLOOKUP(G$6&amp;$C24,'◆（運営）③結果入力'!$E$16:$J$345,6,FALSE)="","",VLOOKUP(G$6&amp;$C24,'◆（運営）③結果入力'!$E$16:$J$345,6,FALSE)),IF(VLOOKUP(G$6&amp;$C24,'◆（運営）③結果入力'!$D$16:$I$345,6,FALSE)="","",VLOOKUP(G$6&amp;$C24,'◆（運営）③結果入力'!$D$16:$I$345,6,FALSE)))</f>
        <v>W</v>
      </c>
      <c r="H24" s="320">
        <f>IF(ISERROR(VLOOKUP(H$6&amp;$C24,'◆（運営）③結果入力'!$D$16:$I$345,6,FALSE)),IF(VLOOKUP(H$6&amp;$C24,'◆（運営）③結果入力'!$E$16:$J$345,6,FALSE)="","",VLOOKUP(H$6&amp;$C24,'◆（運営）③結果入力'!$E$16:$J$345,6,FALSE)),IF(VLOOKUP(H$6&amp;$C24,'◆（運営）③結果入力'!$D$16:$I$345,6,FALSE)="","",VLOOKUP(H$6&amp;$C24,'◆（運営）③結果入力'!$D$16:$I$345,6,FALSE)))</f>
        <v>27</v>
      </c>
      <c r="I24" s="320" t="str">
        <f>IF(ISERROR(VLOOKUP(I$6&amp;$C24,'◆（運営）③結果入力'!$D$16:$I$345,6,FALSE)),IF(VLOOKUP(I$6&amp;$C24,'◆（運営）③結果入力'!$E$16:$J$345,6,FALSE)="","",VLOOKUP(I$6&amp;$C24,'◆（運営）③結果入力'!$E$16:$J$345,6,FALSE)),IF(VLOOKUP(I$6&amp;$C24,'◆（運営）③結果入力'!$D$16:$I$345,6,FALSE)="","",VLOOKUP(I$6&amp;$C24,'◆（運営）③結果入力'!$D$16:$I$345,6,FALSE)))</f>
        <v>W</v>
      </c>
      <c r="J24" s="383"/>
      <c r="K24" s="320">
        <f>IF(ISERROR(VLOOKUP(K$6&amp;$C24,'◆（運営）③結果入力'!$D$16:$I$345,6,FALSE)),IF(VLOOKUP(K$6&amp;$C24,'◆（運営）③結果入力'!$E$16:$J$345,6,FALSE)="","",VLOOKUP(K$6&amp;$C24,'◆（運営）③結果入力'!$E$16:$J$345,6,FALSE)),IF(VLOOKUP(K$6&amp;$C24,'◆（運営）③結果入力'!$D$16:$I$345,6,FALSE)="","",VLOOKUP(K$6&amp;$C24,'◆（運営）③結果入力'!$D$16:$I$345,6,FALSE)))</f>
        <v>116</v>
      </c>
      <c r="L24" s="320" t="str">
        <f>IF(ISERROR(VLOOKUP(L$6&amp;$C24,'◆（運営）③結果入力'!$D$16:$I$345,6,FALSE)),IF(VLOOKUP(L$6&amp;$C24,'◆（運営）③結果入力'!$E$16:$J$345,6,FALSE)="","",VLOOKUP(L$6&amp;$C24,'◆（運営）③結果入力'!$E$16:$J$345,6,FALSE)),IF(VLOOKUP(L$6&amp;$C24,'◆（運営）③結果入力'!$D$16:$I$345,6,FALSE)="","",VLOOKUP(L$6&amp;$C24,'◆（運営）③結果入力'!$D$16:$I$345,6,FALSE)))</f>
        <v>W</v>
      </c>
      <c r="M24" s="320">
        <f>IF(ISERROR(VLOOKUP(M$6&amp;$C24,'◆（運営）③結果入力'!$D$16:$I$345,6,FALSE)),IF(VLOOKUP(M$6&amp;$C24,'◆（運営）③結果入力'!$E$16:$J$345,6,FALSE)="","",VLOOKUP(M$6&amp;$C24,'◆（運営）③結果入力'!$E$16:$J$345,6,FALSE)),IF(VLOOKUP(M$6&amp;$C24,'◆（運営）③結果入力'!$D$16:$I$345,6,FALSE)="","",VLOOKUP(M$6&amp;$C24,'◆（運営）③結果入力'!$D$16:$I$345,6,FALSE)))</f>
        <v>13</v>
      </c>
      <c r="N24" s="320" t="str">
        <f>IF(ISERROR(VLOOKUP(N$6&amp;$C24,'◆（運営）③結果入力'!$D$16:$I$345,6,FALSE)),IF(VLOOKUP(N$6&amp;$C24,'◆（運営）③結果入力'!$E$16:$J$345,6,FALSE)="","",VLOOKUP(N$6&amp;$C24,'◆（運営）③結果入力'!$E$16:$J$345,6,FALSE)),IF(VLOOKUP(N$6&amp;$C24,'◆（運営）③結果入力'!$D$16:$I$345,6,FALSE)="","",VLOOKUP(N$6&amp;$C24,'◆（運営）③結果入力'!$D$16:$I$345,6,FALSE)))</f>
        <v>W</v>
      </c>
      <c r="O24" s="320" t="str">
        <f>IF(O19="","",IF(ISERROR(VLOOKUP(O$6&amp;$C24,'◆（運営）③結果入力'!$D$16:$I$345,6,FALSE)),IF(VLOOKUP(O$6&amp;$C24,'◆（運営）③結果入力'!$E$16:$J$345,6,FALSE)="","",VLOOKUP(O$6&amp;$C24,'◆（運営）③結果入力'!$E$16:$J$345,6,FALSE)),IF(VLOOKUP(O$6&amp;$C24,'◆（運営）③結果入力'!$D$16:$I$345,6,FALSE)="","",VLOOKUP(O$6&amp;$C24,'◆（運営）③結果入力'!$D$16:$I$345,6,FALSE))))</f>
        <v>W</v>
      </c>
      <c r="P24" s="340">
        <f t="shared" si="16"/>
        <v>5</v>
      </c>
      <c r="Q24" s="200">
        <f t="shared" si="17"/>
        <v>4</v>
      </c>
      <c r="R24" s="341">
        <f t="shared" si="18"/>
        <v>868</v>
      </c>
      <c r="S24" s="341">
        <f>IF(COUNTBLANK(F24:O24)=10,"",SUM(J20:J29)+(Q24*120))</f>
        <v>818</v>
      </c>
      <c r="T24" s="303">
        <f aca="true" t="shared" si="30" ref="T24:T29">IF(COUNTBLANK(F24:O24)=10,"",IF(P24+Q24=0,"",RANK(W24,$W$20:$W$29,0)))</f>
        <v>6</v>
      </c>
      <c r="U24" s="276">
        <f t="shared" si="19"/>
        <v>9</v>
      </c>
      <c r="V24" s="276">
        <f t="shared" si="20"/>
        <v>0</v>
      </c>
      <c r="W24" s="276">
        <f t="shared" si="21"/>
        <v>508679182</v>
      </c>
      <c r="X24" s="276">
        <f>IF(W24=0,"",IF(W24=MAX($W$11,$W$24,$W$37,$W$50,$W$63),1,""))</f>
      </c>
      <c r="Y24" s="276" t="str">
        <f t="shared" si="22"/>
        <v>和歌山</v>
      </c>
      <c r="Z24" s="276" t="str">
        <f t="shared" si="23"/>
        <v>末岡 修</v>
      </c>
      <c r="AA24" s="342">
        <f>IF(ISERROR(VLOOKUP(F$6&amp;$C24,'◆（運営）③結果入力'!$D$16:$K$345,5,FALSE)),IF(VLOOKUP(F$6&amp;$C24,'◆（運営）③結果入力'!$E$16:$K$345,7,FALSE)="","",VLOOKUP(F$6&amp;$C24,'◆（運営）③結果入力'!$E$16:$K$345,7,FALSE)),IF(VLOOKUP(F$6&amp;$C24,'◆（運営）③結果入力'!$D$16:$K$345,5,FALSE)="","",VLOOKUP(F$6&amp;$C24,'◆（運営）③結果入力'!$D$16:$K$345,5,FALSE)))</f>
      </c>
      <c r="AB24" s="343">
        <f>IF(ISERROR(VLOOKUP(G$6&amp;$C24,'◆（運営）③結果入力'!$D$16:$K$345,5,FALSE)),IF(VLOOKUP(G$6&amp;$C24,'◆（運営）③結果入力'!$E$16:$K$345,7,FALSE)="","",VLOOKUP(G$6&amp;$C24,'◆（運営）③結果入力'!$E$16:$K$345,7,FALSE)),IF(VLOOKUP(G$6&amp;$C24,'◆（運営）③結果入力'!$D$16:$K$345,5,FALSE)="","",VLOOKUP(G$6&amp;$C24,'◆（運営）③結果入力'!$D$16:$K$345,5,FALSE)))</f>
      </c>
      <c r="AC24" s="343">
        <f>IF(ISERROR(VLOOKUP(H$6&amp;$C24,'◆（運営）③結果入力'!$D$16:$K$345,5,FALSE)),IF(VLOOKUP(H$6&amp;$C24,'◆（運営）③結果入力'!$E$16:$K$345,7,FALSE)="","",VLOOKUP(H$6&amp;$C24,'◆（運営）③結果入力'!$E$16:$K$345,7,FALSE)),IF(VLOOKUP(H$6&amp;$C24,'◆（運営）③結果入力'!$D$16:$K$345,5,FALSE)="","",VLOOKUP(H$6&amp;$C24,'◆（運営）③結果入力'!$D$16:$K$345,5,FALSE)))</f>
      </c>
      <c r="AD24" s="343">
        <f>IF(ISERROR(VLOOKUP(I$6&amp;$C24,'◆（運営）③結果入力'!$D$16:$K$345,5,FALSE)),IF(VLOOKUP(I$6&amp;$C24,'◆（運営）③結果入力'!$E$16:$K$345,7,FALSE)="","",VLOOKUP(I$6&amp;$C24,'◆（運営）③結果入力'!$E$16:$K$345,7,FALSE)),IF(VLOOKUP(I$6&amp;$C24,'◆（運営）③結果入力'!$D$16:$K$345,5,FALSE)="","",VLOOKUP(I$6&amp;$C24,'◆（運営）③結果入力'!$D$16:$K$345,5,FALSE)))</f>
      </c>
      <c r="AE24" s="386"/>
      <c r="AF24" s="343">
        <f>IF(ISERROR(VLOOKUP(K$6&amp;$C24,'◆（運営）③結果入力'!$D$16:$K$345,5,FALSE)),IF(VLOOKUP(K$6&amp;$C24,'◆（運営）③結果入力'!$E$16:$K$345,7,FALSE)="","",VLOOKUP(K$6&amp;$C24,'◆（運営）③結果入力'!$E$16:$K$345,7,FALSE)),IF(VLOOKUP(K$6&amp;$C24,'◆（運営）③結果入力'!$D$16:$K$345,5,FALSE)="","",VLOOKUP(K$6&amp;$C24,'◆（運営）③結果入力'!$D$16:$K$345,5,FALSE)))</f>
      </c>
      <c r="AG24" s="343">
        <f>IF(ISERROR(VLOOKUP(L$6&amp;$C24,'◆（運営）③結果入力'!$D$16:$K$345,5,FALSE)),IF(VLOOKUP(L$6&amp;$C24,'◆（運営）③結果入力'!$E$16:$K$345,7,FALSE)="","",VLOOKUP(L$6&amp;$C24,'◆（運営）③結果入力'!$E$16:$K$345,7,FALSE)),IF(VLOOKUP(L$6&amp;$C24,'◆（運営）③結果入力'!$D$16:$K$345,5,FALSE)="","",VLOOKUP(L$6&amp;$C24,'◆（運営）③結果入力'!$D$16:$K$345,5,FALSE)))</f>
      </c>
      <c r="AH24" s="343">
        <f>IF(ISERROR(VLOOKUP(M$6&amp;$C24,'◆（運営）③結果入力'!$D$16:$K$345,5,FALSE)),IF(VLOOKUP(M$6&amp;$C24,'◆（運営）③結果入力'!$E$16:$K$345,7,FALSE)="","",VLOOKUP(M$6&amp;$C24,'◆（運営）③結果入力'!$E$16:$K$345,7,FALSE)),IF(VLOOKUP(M$6&amp;$C24,'◆（運営）③結果入力'!$D$16:$K$345,5,FALSE)="","",VLOOKUP(M$6&amp;$C24,'◆（運営）③結果入力'!$D$16:$K$345,5,FALSE)))</f>
      </c>
      <c r="AI24" s="343">
        <f>IF(ISERROR(VLOOKUP(N$6&amp;$C24,'◆（運営）③結果入力'!$D$16:$K$345,5,FALSE)),IF(VLOOKUP(N$6&amp;$C24,'◆（運営）③結果入力'!$E$16:$K$345,7,FALSE)="","",VLOOKUP(N$6&amp;$C24,'◆（運営）③結果入力'!$E$16:$K$345,7,FALSE)),IF(VLOOKUP(N$6&amp;$C24,'◆（運営）③結果入力'!$D$16:$K$345,5,FALSE)="","",VLOOKUP(N$6&amp;$C24,'◆（運営）③結果入力'!$D$16:$K$345,5,FALSE)))</f>
      </c>
      <c r="AJ24" s="343">
        <f>IF(O19="","",IF(ISERROR(VLOOKUP(O$6&amp;$C24,'◆（運営）③結果入力'!$D$16:$K$345,5,FALSE)),IF(VLOOKUP(O$6&amp;$C24,'◆（運営）③結果入力'!$E$16:$K$345,7,FALSE)="","",VLOOKUP(O$6&amp;$C24,'◆（運営）③結果入力'!$E$16:$K$345,7,FALSE)),IF(VLOOKUP(O$6&amp;$C24,'◆（運営）③結果入力'!$D$16:$K$345,5,FALSE)="","",VLOOKUP(O$6&amp;$C24,'◆（運営）③結果入力'!$D$16:$K$345,5,FALSE))))</f>
      </c>
      <c r="AK24" s="343"/>
      <c r="AL24" s="344"/>
      <c r="AM24" s="345">
        <f t="shared" si="24"/>
      </c>
      <c r="AO24" s="335">
        <f t="shared" si="25"/>
        <v>0</v>
      </c>
      <c r="AP24" s="335">
        <f t="shared" si="26"/>
        <v>0</v>
      </c>
      <c r="AQ24" s="335">
        <f t="shared" si="27"/>
        <v>0</v>
      </c>
      <c r="AR24" s="335">
        <f t="shared" si="28"/>
        <v>0</v>
      </c>
      <c r="AS24" s="335">
        <f t="shared" si="29"/>
        <v>17</v>
      </c>
    </row>
    <row r="25" spans="1:45" ht="12" customHeight="1">
      <c r="A25" s="274">
        <v>6</v>
      </c>
      <c r="B25" s="315" t="str">
        <f t="shared" si="15"/>
        <v>滋賀</v>
      </c>
      <c r="C25" s="316" t="str">
        <f>IF(B25="","",VLOOKUP(B25,'ブロック表'!$C$4:$N$15,5,FALSE))</f>
        <v>大橋 義治</v>
      </c>
      <c r="D25" s="317"/>
      <c r="E25" s="318"/>
      <c r="F25" s="319" t="str">
        <f>IF(ISERROR(VLOOKUP(F$6&amp;$C25,'◆（運営）③結果入力'!$D$16:$I$345,6,FALSE)),IF(VLOOKUP(F$6&amp;$C25,'◆（運営）③結果入力'!$E$16:$J$345,6,FALSE)="","",VLOOKUP(F$6&amp;$C25,'◆（運営）③結果入力'!$E$16:$J$345,6,FALSE)),IF(VLOOKUP(F$6&amp;$C25,'◆（運営）③結果入力'!$D$16:$I$345,6,FALSE)="","",VLOOKUP(F$6&amp;$C25,'◆（運営）③結果入力'!$D$16:$I$345,6,FALSE)))</f>
        <v>W</v>
      </c>
      <c r="G25" s="320" t="str">
        <f>IF(ISERROR(VLOOKUP(G$6&amp;$C25,'◆（運営）③結果入力'!$D$16:$I$345,6,FALSE)),IF(VLOOKUP(G$6&amp;$C25,'◆（運営）③結果入力'!$E$16:$J$345,6,FALSE)="","",VLOOKUP(G$6&amp;$C25,'◆（運営）③結果入力'!$E$16:$J$345,6,FALSE)),IF(VLOOKUP(G$6&amp;$C25,'◆（運営）③結果入力'!$D$16:$I$345,6,FALSE)="","",VLOOKUP(G$6&amp;$C25,'◆（運営）③結果入力'!$D$16:$I$345,6,FALSE)))</f>
        <v>W</v>
      </c>
      <c r="H25" s="320" t="str">
        <f>IF(ISERROR(VLOOKUP(H$6&amp;$C25,'◆（運営）③結果入力'!$D$16:$I$345,6,FALSE)),IF(VLOOKUP(H$6&amp;$C25,'◆（運営）③結果入力'!$E$16:$J$345,6,FALSE)="","",VLOOKUP(H$6&amp;$C25,'◆（運営）③結果入力'!$E$16:$J$345,6,FALSE)),IF(VLOOKUP(H$6&amp;$C25,'◆（運営）③結果入力'!$D$16:$I$345,6,FALSE)="","",VLOOKUP(H$6&amp;$C25,'◆（運営）③結果入力'!$D$16:$I$345,6,FALSE)))</f>
        <v>W</v>
      </c>
      <c r="I25" s="320">
        <f>IF(ISERROR(VLOOKUP(I$6&amp;$C25,'◆（運営）③結果入力'!$D$16:$I$345,6,FALSE)),IF(VLOOKUP(I$6&amp;$C25,'◆（運営）③結果入力'!$E$16:$J$345,6,FALSE)="","",VLOOKUP(I$6&amp;$C25,'◆（運営）③結果入力'!$E$16:$J$345,6,FALSE)),IF(VLOOKUP(I$6&amp;$C25,'◆（運営）③結果入力'!$D$16:$I$345,6,FALSE)="","",VLOOKUP(I$6&amp;$C25,'◆（運営）③結果入力'!$D$16:$I$345,6,FALSE)))</f>
        <v>107</v>
      </c>
      <c r="J25" s="320" t="str">
        <f>IF(ISERROR(VLOOKUP(J$6&amp;$C25,'◆（運営）③結果入力'!$D$16:$I$345,6,FALSE)),IF(VLOOKUP(J$6&amp;$C25,'◆（運営）③結果入力'!$E$16:$J$345,6,FALSE)="","",VLOOKUP(J$6&amp;$C25,'◆（運営）③結果入力'!$E$16:$J$345,6,FALSE)),IF(VLOOKUP(J$6&amp;$C25,'◆（運営）③結果入力'!$D$16:$I$345,6,FALSE)="","",VLOOKUP(J$6&amp;$C25,'◆（運営）③結果入力'!$D$16:$I$345,6,FALSE)))</f>
        <v>W</v>
      </c>
      <c r="K25" s="383"/>
      <c r="L25" s="320">
        <f>IF(ISERROR(VLOOKUP(L$6&amp;$C25,'◆（運営）③結果入力'!$D$16:$I$345,6,FALSE)),IF(VLOOKUP(L$6&amp;$C25,'◆（運営）③結果入力'!$E$16:$J$345,6,FALSE)="","",VLOOKUP(L$6&amp;$C25,'◆（運営）③結果入力'!$E$16:$J$345,6,FALSE)),IF(VLOOKUP(L$6&amp;$C25,'◆（運営）③結果入力'!$D$16:$I$345,6,FALSE)="","",VLOOKUP(L$6&amp;$C25,'◆（運営）③結果入力'!$D$16:$I$345,6,FALSE)))</f>
        <v>111</v>
      </c>
      <c r="M25" s="320">
        <f>IF(ISERROR(VLOOKUP(M$6&amp;$C25,'◆（運営）③結果入力'!$D$16:$I$345,6,FALSE)),IF(VLOOKUP(M$6&amp;$C25,'◆（運営）③結果入力'!$E$16:$J$345,6,FALSE)="","",VLOOKUP(M$6&amp;$C25,'◆（運営）③結果入力'!$E$16:$J$345,6,FALSE)),IF(VLOOKUP(M$6&amp;$C25,'◆（運営）③結果入力'!$D$16:$I$345,6,FALSE)="","",VLOOKUP(M$6&amp;$C25,'◆（運営）③結果入力'!$D$16:$I$345,6,FALSE)))</f>
        <v>0</v>
      </c>
      <c r="N25" s="320">
        <f>IF(ISERROR(VLOOKUP(N$6&amp;$C25,'◆（運営）③結果入力'!$D$16:$I$345,6,FALSE)),IF(VLOOKUP(N$6&amp;$C25,'◆（運営）③結果入力'!$E$16:$J$345,6,FALSE)="","",VLOOKUP(N$6&amp;$C25,'◆（運営）③結果入力'!$E$16:$J$345,6,FALSE)),IF(VLOOKUP(N$6&amp;$C25,'◆（運営）③結果入力'!$D$16:$I$345,6,FALSE)="","",VLOOKUP(N$6&amp;$C25,'◆（運営）③結果入力'!$D$16:$I$345,6,FALSE)))</f>
        <v>90</v>
      </c>
      <c r="O25" s="320" t="str">
        <f>IF(O19="","",IF(ISERROR(VLOOKUP(O$6&amp;$C25,'◆（運営）③結果入力'!$D$16:$I$345,6,FALSE)),IF(VLOOKUP(O$6&amp;$C25,'◆（運営）③結果入力'!$E$16:$J$345,6,FALSE)="","",VLOOKUP(O$6&amp;$C25,'◆（運営）③結果入力'!$E$16:$J$345,6,FALSE)),IF(VLOOKUP(O$6&amp;$C25,'◆（運営）③結果入力'!$D$16:$I$345,6,FALSE)="","",VLOOKUP(O$6&amp;$C25,'◆（運営）③結果入力'!$D$16:$I$345,6,FALSE))))</f>
        <v>W</v>
      </c>
      <c r="P25" s="340">
        <f t="shared" si="16"/>
        <v>5</v>
      </c>
      <c r="Q25" s="200">
        <f t="shared" si="17"/>
        <v>4</v>
      </c>
      <c r="R25" s="341">
        <f t="shared" si="18"/>
        <v>908</v>
      </c>
      <c r="S25" s="341">
        <f>IF(COUNTBLANK(F25:O25)=10,"",SUM(K20:K29)+(Q25*120))</f>
        <v>902</v>
      </c>
      <c r="T25" s="303">
        <f t="shared" si="30"/>
        <v>4</v>
      </c>
      <c r="U25" s="276">
        <f t="shared" si="19"/>
        <v>9</v>
      </c>
      <c r="V25" s="276">
        <f t="shared" si="20"/>
        <v>0</v>
      </c>
      <c r="W25" s="276">
        <f t="shared" si="21"/>
        <v>509079098</v>
      </c>
      <c r="X25" s="276">
        <f>IF(W25=0,"",IF(W25=MAX($W$12,$W$25,$W$38,$W$51,$W$64),1,""))</f>
        <v>1</v>
      </c>
      <c r="Y25" s="276" t="str">
        <f t="shared" si="22"/>
        <v>1滋賀</v>
      </c>
      <c r="Z25" s="276" t="str">
        <f t="shared" si="23"/>
        <v>大橋 義治</v>
      </c>
      <c r="AA25" s="342">
        <f>IF(ISERROR(VLOOKUP(F$6&amp;$C25,'◆（運営）③結果入力'!$D$16:$K$345,5,FALSE)),IF(VLOOKUP(F$6&amp;$C25,'◆（運営）③結果入力'!$E$16:$K$345,7,FALSE)="","",VLOOKUP(F$6&amp;$C25,'◆（運営）③結果入力'!$E$16:$K$345,7,FALSE)),IF(VLOOKUP(F$6&amp;$C25,'◆（運営）③結果入力'!$D$16:$K$345,5,FALSE)="","",VLOOKUP(F$6&amp;$C25,'◆（運営）③結果入力'!$D$16:$K$345,5,FALSE)))</f>
        <v>118</v>
      </c>
      <c r="AB25" s="343">
        <f>IF(ISERROR(VLOOKUP(G$6&amp;$C25,'◆（運営）③結果入力'!$D$16:$K$345,5,FALSE)),IF(VLOOKUP(G$6&amp;$C25,'◆（運営）③結果入力'!$E$16:$K$345,7,FALSE)="","",VLOOKUP(G$6&amp;$C25,'◆（運営）③結果入力'!$E$16:$K$345,7,FALSE)),IF(VLOOKUP(G$6&amp;$C25,'◆（運営）③結果入力'!$D$16:$K$345,5,FALSE)="","",VLOOKUP(G$6&amp;$C25,'◆（運営）③結果入力'!$D$16:$K$345,5,FALSE)))</f>
      </c>
      <c r="AC25" s="343">
        <f>IF(ISERROR(VLOOKUP(H$6&amp;$C25,'◆（運営）③結果入力'!$D$16:$K$345,5,FALSE)),IF(VLOOKUP(H$6&amp;$C25,'◆（運営）③結果入力'!$E$16:$K$345,7,FALSE)="","",VLOOKUP(H$6&amp;$C25,'◆（運営）③結果入力'!$E$16:$K$345,7,FALSE)),IF(VLOOKUP(H$6&amp;$C25,'◆（運営）③結果入力'!$D$16:$K$345,5,FALSE)="","",VLOOKUP(H$6&amp;$C25,'◆（運営）③結果入力'!$D$16:$K$345,5,FALSE)))</f>
      </c>
      <c r="AD25" s="343">
        <f>IF(ISERROR(VLOOKUP(I$6&amp;$C25,'◆（運営）③結果入力'!$D$16:$K$345,5,FALSE)),IF(VLOOKUP(I$6&amp;$C25,'◆（運営）③結果入力'!$E$16:$K$345,7,FALSE)="","",VLOOKUP(I$6&amp;$C25,'◆（運営）③結果入力'!$E$16:$K$345,7,FALSE)),IF(VLOOKUP(I$6&amp;$C25,'◆（運営）③結果入力'!$D$16:$K$345,5,FALSE)="","",VLOOKUP(I$6&amp;$C25,'◆（運営）③結果入力'!$D$16:$K$345,5,FALSE)))</f>
      </c>
      <c r="AE25" s="343">
        <f>IF(ISERROR(VLOOKUP(J$6&amp;$C25,'◆（運営）③結果入力'!$D$16:$K$345,5,FALSE)),IF(VLOOKUP(J$6&amp;$C25,'◆（運営）③結果入力'!$E$16:$K$345,7,FALSE)="","",VLOOKUP(J$6&amp;$C25,'◆（運営）③結果入力'!$E$16:$K$345,7,FALSE)),IF(VLOOKUP(J$6&amp;$C25,'◆（運営）③結果入力'!$D$16:$K$345,5,FALSE)="","",VLOOKUP(J$6&amp;$C25,'◆（運営）③結果入力'!$D$16:$K$345,5,FALSE)))</f>
      </c>
      <c r="AF25" s="386"/>
      <c r="AG25" s="343">
        <f>IF(ISERROR(VLOOKUP(L$6&amp;$C25,'◆（運営）③結果入力'!$D$16:$K$345,5,FALSE)),IF(VLOOKUP(L$6&amp;$C25,'◆（運営）③結果入力'!$E$16:$K$345,7,FALSE)="","",VLOOKUP(L$6&amp;$C25,'◆（運営）③結果入力'!$E$16:$K$345,7,FALSE)),IF(VLOOKUP(L$6&amp;$C25,'◆（運営）③結果入力'!$D$16:$K$345,5,FALSE)="","",VLOOKUP(L$6&amp;$C25,'◆（運営）③結果入力'!$D$16:$K$345,5,FALSE)))</f>
      </c>
      <c r="AH25" s="343">
        <f>IF(ISERROR(VLOOKUP(M$6&amp;$C25,'◆（運営）③結果入力'!$D$16:$K$345,5,FALSE)),IF(VLOOKUP(M$6&amp;$C25,'◆（運営）③結果入力'!$E$16:$K$345,7,FALSE)="","",VLOOKUP(M$6&amp;$C25,'◆（運営）③結果入力'!$E$16:$K$345,7,FALSE)),IF(VLOOKUP(M$6&amp;$C25,'◆（運営）③結果入力'!$D$16:$K$345,5,FALSE)="","",VLOOKUP(M$6&amp;$C25,'◆（運営）③結果入力'!$D$16:$K$345,5,FALSE)))</f>
      </c>
      <c r="AI25" s="343">
        <f>IF(ISERROR(VLOOKUP(N$6&amp;$C25,'◆（運営）③結果入力'!$D$16:$K$345,5,FALSE)),IF(VLOOKUP(N$6&amp;$C25,'◆（運営）③結果入力'!$E$16:$K$345,7,FALSE)="","",VLOOKUP(N$6&amp;$C25,'◆（運営）③結果入力'!$E$16:$K$345,7,FALSE)),IF(VLOOKUP(N$6&amp;$C25,'◆（運営）③結果入力'!$D$16:$K$345,5,FALSE)="","",VLOOKUP(N$6&amp;$C25,'◆（運営）③結果入力'!$D$16:$K$345,5,FALSE)))</f>
      </c>
      <c r="AJ25" s="343">
        <f>IF(O19="","",IF(ISERROR(VLOOKUP(O$6&amp;$C25,'◆（運営）③結果入力'!$D$16:$K$345,5,FALSE)),IF(VLOOKUP(O$6&amp;$C25,'◆（運営）③結果入力'!$E$16:$K$345,7,FALSE)="","",VLOOKUP(O$6&amp;$C25,'◆（運営）③結果入力'!$E$16:$K$345,7,FALSE)),IF(VLOOKUP(O$6&amp;$C25,'◆（運営）③結果入力'!$D$16:$K$345,5,FALSE)="","",VLOOKUP(O$6&amp;$C25,'◆（運営）③結果入力'!$D$16:$K$345,5,FALSE))))</f>
      </c>
      <c r="AK25" s="343"/>
      <c r="AL25" s="344"/>
      <c r="AM25" s="345">
        <f t="shared" si="24"/>
        <v>118</v>
      </c>
      <c r="AO25" s="335">
        <f t="shared" si="25"/>
        <v>0</v>
      </c>
      <c r="AP25" s="335">
        <f t="shared" si="26"/>
        <v>0</v>
      </c>
      <c r="AQ25" s="335">
        <f t="shared" si="27"/>
        <v>118</v>
      </c>
      <c r="AR25" s="335">
        <f t="shared" si="28"/>
        <v>118</v>
      </c>
      <c r="AS25" s="335">
        <f t="shared" si="29"/>
        <v>10</v>
      </c>
    </row>
    <row r="26" spans="1:45" ht="12" customHeight="1">
      <c r="A26" s="274">
        <v>7</v>
      </c>
      <c r="B26" s="315" t="str">
        <f t="shared" si="15"/>
        <v>奈良</v>
      </c>
      <c r="C26" s="316" t="str">
        <f>IF(B26="","",VLOOKUP(B26,'ブロック表'!$C$4:$N$15,5,FALSE))</f>
        <v>水田 賢宏</v>
      </c>
      <c r="D26" s="317"/>
      <c r="E26" s="318"/>
      <c r="F26" s="319">
        <f>IF(ISERROR(VLOOKUP(F$6&amp;$C26,'◆（運営）③結果入力'!$D$16:$I$345,6,FALSE)),IF(VLOOKUP(F$6&amp;$C26,'◆（運営）③結果入力'!$E$16:$J$345,6,FALSE)="","",VLOOKUP(F$6&amp;$C26,'◆（運営）③結果入力'!$E$16:$J$345,6,FALSE)),IF(VLOOKUP(F$6&amp;$C26,'◆（運営）③結果入力'!$D$16:$I$345,6,FALSE)="","",VLOOKUP(F$6&amp;$C26,'◆（運営）③結果入力'!$D$16:$I$345,6,FALSE)))</f>
        <v>22</v>
      </c>
      <c r="G26" s="320" t="str">
        <f>IF(ISERROR(VLOOKUP(G$6&amp;$C26,'◆（運営）③結果入力'!$D$16:$I$345,6,FALSE)),IF(VLOOKUP(G$6&amp;$C26,'◆（運営）③結果入力'!$E$16:$J$345,6,FALSE)="","",VLOOKUP(G$6&amp;$C26,'◆（運営）③結果入力'!$E$16:$J$345,6,FALSE)),IF(VLOOKUP(G$6&amp;$C26,'◆（運営）③結果入力'!$D$16:$I$345,6,FALSE)="","",VLOOKUP(G$6&amp;$C26,'◆（運営）③結果入力'!$D$16:$I$345,6,FALSE)))</f>
        <v>W</v>
      </c>
      <c r="H26" s="320">
        <f>IF(ISERROR(VLOOKUP(H$6&amp;$C26,'◆（運営）③結果入力'!$D$16:$I$345,6,FALSE)),IF(VLOOKUP(H$6&amp;$C26,'◆（運営）③結果入力'!$E$16:$J$345,6,FALSE)="","",VLOOKUP(H$6&amp;$C26,'◆（運営）③結果入力'!$E$16:$J$345,6,FALSE)),IF(VLOOKUP(H$6&amp;$C26,'◆（運営）③結果入力'!$D$16:$I$345,6,FALSE)="","",VLOOKUP(H$6&amp;$C26,'◆（運営）③結果入力'!$D$16:$I$345,6,FALSE)))</f>
        <v>50</v>
      </c>
      <c r="I26" s="320">
        <f>IF(ISERROR(VLOOKUP(I$6&amp;$C26,'◆（運営）③結果入力'!$D$16:$I$345,6,FALSE)),IF(VLOOKUP(I$6&amp;$C26,'◆（運営）③結果入力'!$E$16:$J$345,6,FALSE)="","",VLOOKUP(I$6&amp;$C26,'◆（運営）③結果入力'!$E$16:$J$345,6,FALSE)),IF(VLOOKUP(I$6&amp;$C26,'◆（運営）③結果入力'!$D$16:$I$345,6,FALSE)="","",VLOOKUP(I$6&amp;$C26,'◆（運営）③結果入力'!$D$16:$I$345,6,FALSE)))</f>
        <v>0</v>
      </c>
      <c r="J26" s="320">
        <f>IF(ISERROR(VLOOKUP(J$6&amp;$C26,'◆（運営）③結果入力'!$D$16:$I$345,6,FALSE)),IF(VLOOKUP(J$6&amp;$C26,'◆（運営）③結果入力'!$E$16:$J$345,6,FALSE)="","",VLOOKUP(J$6&amp;$C26,'◆（運営）③結果入力'!$E$16:$J$345,6,FALSE)),IF(VLOOKUP(J$6&amp;$C26,'◆（運営）③結果入力'!$D$16:$I$345,6,FALSE)="","",VLOOKUP(J$6&amp;$C26,'◆（運営）③結果入力'!$D$16:$I$345,6,FALSE)))</f>
        <v>107</v>
      </c>
      <c r="K26" s="320" t="str">
        <f>IF(ISERROR(VLOOKUP(K$6&amp;$C26,'◆（運営）③結果入力'!$D$16:$I$345,6,FALSE)),IF(VLOOKUP(K$6&amp;$C26,'◆（運営）③結果入力'!$E$16:$J$345,6,FALSE)="","",VLOOKUP(K$6&amp;$C26,'◆（運営）③結果入力'!$E$16:$J$345,6,FALSE)),IF(VLOOKUP(K$6&amp;$C26,'◆（運営）③結果入力'!$D$16:$I$345,6,FALSE)="","",VLOOKUP(K$6&amp;$C26,'◆（運営）③結果入力'!$D$16:$I$345,6,FALSE)))</f>
        <v>W</v>
      </c>
      <c r="L26" s="383"/>
      <c r="M26" s="320" t="str">
        <f>IF(ISERROR(VLOOKUP(M$6&amp;$C26,'◆（運営）③結果入力'!$D$16:$I$345,6,FALSE)),IF(VLOOKUP(M$6&amp;$C26,'◆（運営）③結果入力'!$E$16:$J$345,6,FALSE)="","",VLOOKUP(M$6&amp;$C26,'◆（運営）③結果入力'!$E$16:$J$345,6,FALSE)),IF(VLOOKUP(M$6&amp;$C26,'◆（運営）③結果入力'!$D$16:$I$345,6,FALSE)="","",VLOOKUP(M$6&amp;$C26,'◆（運営）③結果入力'!$D$16:$I$345,6,FALSE)))</f>
        <v>W</v>
      </c>
      <c r="N26" s="320">
        <f>IF(ISERROR(VLOOKUP(N$6&amp;$C26,'◆（運営）③結果入力'!$D$16:$I$345,6,FALSE)),IF(VLOOKUP(N$6&amp;$C26,'◆（運営）③結果入力'!$E$16:$J$345,6,FALSE)="","",VLOOKUP(N$6&amp;$C26,'◆（運営）③結果入力'!$E$16:$J$345,6,FALSE)),IF(VLOOKUP(N$6&amp;$C26,'◆（運営）③結果入力'!$D$16:$I$345,6,FALSE)="","",VLOOKUP(N$6&amp;$C26,'◆（運営）③結果入力'!$D$16:$I$345,6,FALSE)))</f>
        <v>103</v>
      </c>
      <c r="O26" s="320">
        <f>IF(O19="","",IF(ISERROR(VLOOKUP(O$6&amp;$C26,'◆（運営）③結果入力'!$D$16:$I$345,6,FALSE)),IF(VLOOKUP(O$6&amp;$C26,'◆（運営）③結果入力'!$E$16:$J$345,6,FALSE)="","",VLOOKUP(O$6&amp;$C26,'◆（運営）③結果入力'!$E$16:$J$345,6,FALSE)),IF(VLOOKUP(O$6&amp;$C26,'◆（運営）③結果入力'!$D$16:$I$345,6,FALSE)="","",VLOOKUP(O$6&amp;$C26,'◆（運営）③結果入力'!$D$16:$I$345,6,FALSE))))</f>
        <v>95</v>
      </c>
      <c r="P26" s="340">
        <f t="shared" si="16"/>
        <v>3</v>
      </c>
      <c r="Q26" s="200">
        <f t="shared" si="17"/>
        <v>6</v>
      </c>
      <c r="R26" s="341">
        <f t="shared" si="18"/>
        <v>737</v>
      </c>
      <c r="S26" s="341">
        <f>IF(COUNTBLANK(F26:O26)=10,"",SUM(L20:L29)+(Q26*120))</f>
        <v>1004</v>
      </c>
      <c r="T26" s="303">
        <f t="shared" si="30"/>
        <v>7</v>
      </c>
      <c r="U26" s="276">
        <f t="shared" si="19"/>
        <v>9</v>
      </c>
      <c r="V26" s="276">
        <f t="shared" si="20"/>
        <v>0</v>
      </c>
      <c r="W26" s="276">
        <f t="shared" si="21"/>
        <v>307368996</v>
      </c>
      <c r="X26" s="276">
        <f>IF(W26=0,"",IF(W26=MAX($W$13,$W$26,$W$39,$W$52,$W$65),1,""))</f>
      </c>
      <c r="Y26" s="276" t="str">
        <f t="shared" si="22"/>
        <v>奈良</v>
      </c>
      <c r="Z26" s="276" t="str">
        <f t="shared" si="23"/>
        <v>水田 賢宏</v>
      </c>
      <c r="AA26" s="342">
        <f>IF(ISERROR(VLOOKUP(F$6&amp;$C26,'◆（運営）③結果入力'!$D$16:$K$345,5,FALSE)),IF(VLOOKUP(F$6&amp;$C26,'◆（運営）③結果入力'!$E$16:$K$345,7,FALSE)="","",VLOOKUP(F$6&amp;$C26,'◆（運営）③結果入力'!$E$16:$K$345,7,FALSE)),IF(VLOOKUP(F$6&amp;$C26,'◆（運営）③結果入力'!$D$16:$K$345,5,FALSE)="","",VLOOKUP(F$6&amp;$C26,'◆（運営）③結果入力'!$D$16:$K$345,5,FALSE)))</f>
      </c>
      <c r="AB26" s="343">
        <f>IF(ISERROR(VLOOKUP(G$6&amp;$C26,'◆（運営）③結果入力'!$D$16:$K$345,5,FALSE)),IF(VLOOKUP(G$6&amp;$C26,'◆（運営）③結果入力'!$E$16:$K$345,7,FALSE)="","",VLOOKUP(G$6&amp;$C26,'◆（運営）③結果入力'!$E$16:$K$345,7,FALSE)),IF(VLOOKUP(G$6&amp;$C26,'◆（運営）③結果入力'!$D$16:$K$345,5,FALSE)="","",VLOOKUP(G$6&amp;$C26,'◆（運営）③結果入力'!$D$16:$K$345,5,FALSE)))</f>
      </c>
      <c r="AC26" s="343">
        <f>IF(ISERROR(VLOOKUP(H$6&amp;$C26,'◆（運営）③結果入力'!$D$16:$K$345,5,FALSE)),IF(VLOOKUP(H$6&amp;$C26,'◆（運営）③結果入力'!$E$16:$K$345,7,FALSE)="","",VLOOKUP(H$6&amp;$C26,'◆（運営）③結果入力'!$E$16:$K$345,7,FALSE)),IF(VLOOKUP(H$6&amp;$C26,'◆（運営）③結果入力'!$D$16:$K$345,5,FALSE)="","",VLOOKUP(H$6&amp;$C26,'◆（運営）③結果入力'!$D$16:$K$345,5,FALSE)))</f>
      </c>
      <c r="AD26" s="343">
        <f>IF(ISERROR(VLOOKUP(I$6&amp;$C26,'◆（運営）③結果入力'!$D$16:$K$345,5,FALSE)),IF(VLOOKUP(I$6&amp;$C26,'◆（運営）③結果入力'!$E$16:$K$345,7,FALSE)="","",VLOOKUP(I$6&amp;$C26,'◆（運営）③結果入力'!$E$16:$K$345,7,FALSE)),IF(VLOOKUP(I$6&amp;$C26,'◆（運営）③結果入力'!$D$16:$K$345,5,FALSE)="","",VLOOKUP(I$6&amp;$C26,'◆（運営）③結果入力'!$D$16:$K$345,5,FALSE)))</f>
      </c>
      <c r="AE26" s="343">
        <f>IF(ISERROR(VLOOKUP(J$6&amp;$C26,'◆（運営）③結果入力'!$D$16:$K$345,5,FALSE)),IF(VLOOKUP(J$6&amp;$C26,'◆（運営）③結果入力'!$E$16:$K$345,7,FALSE)="","",VLOOKUP(J$6&amp;$C26,'◆（運営）③結果入力'!$E$16:$K$345,7,FALSE)),IF(VLOOKUP(J$6&amp;$C26,'◆（運営）③結果入力'!$D$16:$K$345,5,FALSE)="","",VLOOKUP(J$6&amp;$C26,'◆（運営）③結果入力'!$D$16:$K$345,5,FALSE)))</f>
      </c>
      <c r="AF26" s="343">
        <f>IF(ISERROR(VLOOKUP(K$6&amp;$C26,'◆（運営）③結果入力'!$D$16:$K$345,5,FALSE)),IF(VLOOKUP(K$6&amp;$C26,'◆（運営）③結果入力'!$E$16:$K$345,7,FALSE)="","",VLOOKUP(K$6&amp;$C26,'◆（運営）③結果入力'!$E$16:$K$345,7,FALSE)),IF(VLOOKUP(K$6&amp;$C26,'◆（運営）③結果入力'!$D$16:$K$345,5,FALSE)="","",VLOOKUP(K$6&amp;$C26,'◆（運営）③結果入力'!$D$16:$K$345,5,FALSE)))</f>
        <v>117</v>
      </c>
      <c r="AG26" s="386"/>
      <c r="AH26" s="343">
        <f>IF(ISERROR(VLOOKUP(M$6&amp;$C26,'◆（運営）③結果入力'!$D$16:$K$345,5,FALSE)),IF(VLOOKUP(M$6&amp;$C26,'◆（運営）③結果入力'!$E$16:$K$345,7,FALSE)="","",VLOOKUP(M$6&amp;$C26,'◆（運営）③結果入力'!$E$16:$K$345,7,FALSE)),IF(VLOOKUP(M$6&amp;$C26,'◆（運営）③結果入力'!$D$16:$K$345,5,FALSE)="","",VLOOKUP(M$6&amp;$C26,'◆（運営）③結果入力'!$D$16:$K$345,5,FALSE)))</f>
      </c>
      <c r="AI26" s="343">
        <f>IF(ISERROR(VLOOKUP(N$6&amp;$C26,'◆（運営）③結果入力'!$D$16:$K$345,5,FALSE)),IF(VLOOKUP(N$6&amp;$C26,'◆（運営）③結果入力'!$E$16:$K$345,7,FALSE)="","",VLOOKUP(N$6&amp;$C26,'◆（運営）③結果入力'!$E$16:$K$345,7,FALSE)),IF(VLOOKUP(N$6&amp;$C26,'◆（運営）③結果入力'!$D$16:$K$345,5,FALSE)="","",VLOOKUP(N$6&amp;$C26,'◆（運営）③結果入力'!$D$16:$K$345,5,FALSE)))</f>
      </c>
      <c r="AJ26" s="343">
        <f>IF(O19="","",IF(ISERROR(VLOOKUP(O$6&amp;$C26,'◆（運営）③結果入力'!$D$16:$K$345,5,FALSE)),IF(VLOOKUP(O$6&amp;$C26,'◆（運営）③結果入力'!$E$16:$K$345,7,FALSE)="","",VLOOKUP(O$6&amp;$C26,'◆（運営）③結果入力'!$E$16:$K$345,7,FALSE)),IF(VLOOKUP(O$6&amp;$C26,'◆（運営）③結果入力'!$D$16:$K$345,5,FALSE)="","",VLOOKUP(O$6&amp;$C26,'◆（運営）③結果入力'!$D$16:$K$345,5,FALSE))))</f>
      </c>
      <c r="AK26" s="343"/>
      <c r="AL26" s="344"/>
      <c r="AM26" s="345">
        <f t="shared" si="24"/>
        <v>117</v>
      </c>
      <c r="AO26" s="335">
        <f t="shared" si="25"/>
        <v>0</v>
      </c>
      <c r="AP26" s="335">
        <f t="shared" si="26"/>
        <v>0</v>
      </c>
      <c r="AQ26" s="335">
        <f t="shared" si="27"/>
        <v>117</v>
      </c>
      <c r="AR26" s="335">
        <f t="shared" si="28"/>
        <v>117</v>
      </c>
      <c r="AS26" s="335">
        <f t="shared" si="29"/>
        <v>11</v>
      </c>
    </row>
    <row r="27" spans="1:45" ht="12" customHeight="1">
      <c r="A27" s="274">
        <v>8</v>
      </c>
      <c r="B27" s="315" t="str">
        <f t="shared" si="15"/>
        <v>三重</v>
      </c>
      <c r="C27" s="316" t="str">
        <f>IF(B27="","",VLOOKUP(B27,'ブロック表'!$C$4:$N$15,5,FALSE))</f>
        <v>市川 裕貴</v>
      </c>
      <c r="D27" s="317"/>
      <c r="E27" s="318"/>
      <c r="F27" s="319">
        <f>IF(ISERROR(VLOOKUP(F$6&amp;$C27,'◆（運営）③結果入力'!$D$16:$I$345,6,FALSE)),IF(VLOOKUP(F$6&amp;$C27,'◆（運営）③結果入力'!$E$16:$J$345,6,FALSE)="","",VLOOKUP(F$6&amp;$C27,'◆（運営）③結果入力'!$E$16:$J$345,6,FALSE)),IF(VLOOKUP(F$6&amp;$C27,'◆（運営）③結果入力'!$D$16:$I$345,6,FALSE)="","",VLOOKUP(F$6&amp;$C27,'◆（運営）③結果入力'!$D$16:$I$345,6,FALSE)))</f>
        <v>11</v>
      </c>
      <c r="G27" s="320" t="str">
        <f>IF(ISERROR(VLOOKUP(G$6&amp;$C27,'◆（運営）③結果入力'!$D$16:$I$345,6,FALSE)),IF(VLOOKUP(G$6&amp;$C27,'◆（運営）③結果入力'!$E$16:$J$345,6,FALSE)="","",VLOOKUP(G$6&amp;$C27,'◆（運営）③結果入力'!$E$16:$J$345,6,FALSE)),IF(VLOOKUP(G$6&amp;$C27,'◆（運営）③結果入力'!$D$16:$I$345,6,FALSE)="","",VLOOKUP(G$6&amp;$C27,'◆（運営）③結果入力'!$D$16:$I$345,6,FALSE)))</f>
        <v>W</v>
      </c>
      <c r="H27" s="320">
        <f>IF(ISERROR(VLOOKUP(H$6&amp;$C27,'◆（運営）③結果入力'!$D$16:$I$345,6,FALSE)),IF(VLOOKUP(H$6&amp;$C27,'◆（運営）③結果入力'!$E$16:$J$345,6,FALSE)="","",VLOOKUP(H$6&amp;$C27,'◆（運営）③結果入力'!$E$16:$J$345,6,FALSE)),IF(VLOOKUP(H$6&amp;$C27,'◆（運営）③結果入力'!$D$16:$I$345,6,FALSE)="","",VLOOKUP(H$6&amp;$C27,'◆（運営）③結果入力'!$D$16:$I$345,6,FALSE)))</f>
        <v>97</v>
      </c>
      <c r="I27" s="320">
        <f>IF(ISERROR(VLOOKUP(I$6&amp;$C27,'◆（運営）③結果入力'!$D$16:$I$345,6,FALSE)),IF(VLOOKUP(I$6&amp;$C27,'◆（運営）③結果入力'!$E$16:$J$345,6,FALSE)="","",VLOOKUP(I$6&amp;$C27,'◆（運営）③結果入力'!$E$16:$J$345,6,FALSE)),IF(VLOOKUP(I$6&amp;$C27,'◆（運営）③結果入力'!$D$16:$I$345,6,FALSE)="","",VLOOKUP(I$6&amp;$C27,'◆（運営）③結果入力'!$D$16:$I$345,6,FALSE)))</f>
        <v>44</v>
      </c>
      <c r="J27" s="320" t="str">
        <f>IF(ISERROR(VLOOKUP(J$6&amp;$C27,'◆（運営）③結果入力'!$D$16:$I$345,6,FALSE)),IF(VLOOKUP(J$6&amp;$C27,'◆（運営）③結果入力'!$E$16:$J$345,6,FALSE)="","",VLOOKUP(J$6&amp;$C27,'◆（運営）③結果入力'!$E$16:$J$345,6,FALSE)),IF(VLOOKUP(J$6&amp;$C27,'◆（運営）③結果入力'!$D$16:$I$345,6,FALSE)="","",VLOOKUP(J$6&amp;$C27,'◆（運営）③結果入力'!$D$16:$I$345,6,FALSE)))</f>
        <v>W</v>
      </c>
      <c r="K27" s="320" t="str">
        <f>IF(ISERROR(VLOOKUP(K$6&amp;$C27,'◆（運営）③結果入力'!$D$16:$I$345,6,FALSE)),IF(VLOOKUP(K$6&amp;$C27,'◆（運営）③結果入力'!$E$16:$J$345,6,FALSE)="","",VLOOKUP(K$6&amp;$C27,'◆（運営）③結果入力'!$E$16:$J$345,6,FALSE)),IF(VLOOKUP(K$6&amp;$C27,'◆（運営）③結果入力'!$D$16:$I$345,6,FALSE)="","",VLOOKUP(K$6&amp;$C27,'◆（運営）③結果入力'!$D$16:$I$345,6,FALSE)))</f>
        <v>W</v>
      </c>
      <c r="L27" s="320">
        <f>IF(ISERROR(VLOOKUP(L$6&amp;$C27,'◆（運営）③結果入力'!$D$16:$I$345,6,FALSE)),IF(VLOOKUP(L$6&amp;$C27,'◆（運営）③結果入力'!$E$16:$J$345,6,FALSE)="","",VLOOKUP(L$6&amp;$C27,'◆（運営）③結果入力'!$E$16:$J$345,6,FALSE)),IF(VLOOKUP(L$6&amp;$C27,'◆（運営）③結果入力'!$D$16:$I$345,6,FALSE)="","",VLOOKUP(L$6&amp;$C27,'◆（運営）③結果入力'!$D$16:$I$345,6,FALSE)))</f>
        <v>118</v>
      </c>
      <c r="M27" s="383"/>
      <c r="N27" s="320" t="str">
        <f>IF(ISERROR(VLOOKUP(N$6&amp;$C27,'◆（運営）③結果入力'!$D$16:$I$345,6,FALSE)),IF(VLOOKUP(N$6&amp;$C27,'◆（運営）③結果入力'!$E$16:$J$345,6,FALSE)="","",VLOOKUP(N$6&amp;$C27,'◆（運営）③結果入力'!$E$16:$J$345,6,FALSE)),IF(VLOOKUP(N$6&amp;$C27,'◆（運営）③結果入力'!$D$16:$I$345,6,FALSE)="","",VLOOKUP(N$6&amp;$C27,'◆（運営）③結果入力'!$D$16:$I$345,6,FALSE)))</f>
        <v>W</v>
      </c>
      <c r="O27" s="320" t="str">
        <f>IF(O19="","",IF(ISERROR(VLOOKUP(O$6&amp;$C27,'◆（運営）③結果入力'!$D$16:$I$345,6,FALSE)),IF(VLOOKUP(O$6&amp;$C27,'◆（運営）③結果入力'!$E$16:$J$345,6,FALSE)="","",VLOOKUP(O$6&amp;$C27,'◆（運営）③結果入力'!$E$16:$J$345,6,FALSE)),IF(VLOOKUP(O$6&amp;$C27,'◆（運営）③結果入力'!$D$16:$I$345,6,FALSE)="","",VLOOKUP(O$6&amp;$C27,'◆（運営）③結果入力'!$D$16:$I$345,6,FALSE))))</f>
        <v>W</v>
      </c>
      <c r="P27" s="340">
        <f t="shared" si="16"/>
        <v>5</v>
      </c>
      <c r="Q27" s="200">
        <f t="shared" si="17"/>
        <v>4</v>
      </c>
      <c r="R27" s="341">
        <f t="shared" si="18"/>
        <v>870</v>
      </c>
      <c r="S27" s="341">
        <f>IF(COUNTBLANK(F27:O27)=10,"",SUM(M20:M29)+(Q27*120))</f>
        <v>656</v>
      </c>
      <c r="T27" s="303">
        <f t="shared" si="30"/>
        <v>5</v>
      </c>
      <c r="U27" s="276">
        <f t="shared" si="19"/>
        <v>9</v>
      </c>
      <c r="V27" s="276">
        <f t="shared" si="20"/>
        <v>0</v>
      </c>
      <c r="W27" s="276">
        <f t="shared" si="21"/>
        <v>508699344</v>
      </c>
      <c r="X27" s="276">
        <f>IF(W27=0,"",IF(W27=MAX($W$14,$W$27,$W$40,$W$53,$W$66),1,""))</f>
      </c>
      <c r="Y27" s="276" t="str">
        <f t="shared" si="22"/>
        <v>三重</v>
      </c>
      <c r="Z27" s="276" t="str">
        <f t="shared" si="23"/>
        <v>市川 裕貴</v>
      </c>
      <c r="AA27" s="342">
        <f>IF(ISERROR(VLOOKUP(F$6&amp;$C27,'◆（運営）③結果入力'!$D$16:$K$345,5,FALSE)),IF(VLOOKUP(F$6&amp;$C27,'◆（運営）③結果入力'!$E$16:$K$345,7,FALSE)="","",VLOOKUP(F$6&amp;$C27,'◆（運営）③結果入力'!$E$16:$K$345,7,FALSE)),IF(VLOOKUP(F$6&amp;$C27,'◆（運営）③結果入力'!$D$16:$K$345,5,FALSE)="","",VLOOKUP(F$6&amp;$C27,'◆（運営）③結果入力'!$D$16:$K$345,5,FALSE)))</f>
      </c>
      <c r="AB27" s="343">
        <f>IF(ISERROR(VLOOKUP(G$6&amp;$C27,'◆（運営）③結果入力'!$D$16:$K$345,5,FALSE)),IF(VLOOKUP(G$6&amp;$C27,'◆（運営）③結果入力'!$E$16:$K$345,7,FALSE)="","",VLOOKUP(G$6&amp;$C27,'◆（運営）③結果入力'!$E$16:$K$345,7,FALSE)),IF(VLOOKUP(G$6&amp;$C27,'◆（運営）③結果入力'!$D$16:$K$345,5,FALSE)="","",VLOOKUP(G$6&amp;$C27,'◆（運営）③結果入力'!$D$16:$K$345,5,FALSE)))</f>
      </c>
      <c r="AC27" s="343">
        <f>IF(ISERROR(VLOOKUP(H$6&amp;$C27,'◆（運営）③結果入力'!$D$16:$K$345,5,FALSE)),IF(VLOOKUP(H$6&amp;$C27,'◆（運営）③結果入力'!$E$16:$K$345,7,FALSE)="","",VLOOKUP(H$6&amp;$C27,'◆（運営）③結果入力'!$E$16:$K$345,7,FALSE)),IF(VLOOKUP(H$6&amp;$C27,'◆（運営）③結果入力'!$D$16:$K$345,5,FALSE)="","",VLOOKUP(H$6&amp;$C27,'◆（運営）③結果入力'!$D$16:$K$345,5,FALSE)))</f>
      </c>
      <c r="AD27" s="343">
        <f>IF(ISERROR(VLOOKUP(I$6&amp;$C27,'◆（運営）③結果入力'!$D$16:$K$345,5,FALSE)),IF(VLOOKUP(I$6&amp;$C27,'◆（運営）③結果入力'!$E$16:$K$345,7,FALSE)="","",VLOOKUP(I$6&amp;$C27,'◆（運営）③結果入力'!$E$16:$K$345,7,FALSE)),IF(VLOOKUP(I$6&amp;$C27,'◆（運営）③結果入力'!$D$16:$K$345,5,FALSE)="","",VLOOKUP(I$6&amp;$C27,'◆（運営）③結果入力'!$D$16:$K$345,5,FALSE)))</f>
      </c>
      <c r="AE27" s="343">
        <f>IF(ISERROR(VLOOKUP(J$6&amp;$C27,'◆（運営）③結果入力'!$D$16:$K$345,5,FALSE)),IF(VLOOKUP(J$6&amp;$C27,'◆（運営）③結果入力'!$E$16:$K$345,7,FALSE)="","",VLOOKUP(J$6&amp;$C27,'◆（運営）③結果入力'!$E$16:$K$345,7,FALSE)),IF(VLOOKUP(J$6&amp;$C27,'◆（運営）③結果入力'!$D$16:$K$345,5,FALSE)="","",VLOOKUP(J$6&amp;$C27,'◆（運営）③結果入力'!$D$16:$K$345,5,FALSE)))</f>
      </c>
      <c r="AF27" s="343">
        <f>IF(ISERROR(VLOOKUP(K$6&amp;$C27,'◆（運営）③結果入力'!$D$16:$K$345,5,FALSE)),IF(VLOOKUP(K$6&amp;$C27,'◆（運営）③結果入力'!$E$16:$K$345,7,FALSE)="","",VLOOKUP(K$6&amp;$C27,'◆（運営）③結果入力'!$E$16:$K$345,7,FALSE)),IF(VLOOKUP(K$6&amp;$C27,'◆（運営）③結果入力'!$D$16:$K$345,5,FALSE)="","",VLOOKUP(K$6&amp;$C27,'◆（運営）③結果入力'!$D$16:$K$345,5,FALSE)))</f>
      </c>
      <c r="AG27" s="343">
        <f>IF(ISERROR(VLOOKUP(L$6&amp;$C27,'◆（運営）③結果入力'!$D$16:$K$345,5,FALSE)),IF(VLOOKUP(L$6&amp;$C27,'◆（運営）③結果入力'!$E$16:$K$345,7,FALSE)="","",VLOOKUP(L$6&amp;$C27,'◆（運営）③結果入力'!$E$16:$K$345,7,FALSE)),IF(VLOOKUP(L$6&amp;$C27,'◆（運営）③結果入力'!$D$16:$K$345,5,FALSE)="","",VLOOKUP(L$6&amp;$C27,'◆（運営）③結果入力'!$D$16:$K$345,5,FALSE)))</f>
      </c>
      <c r="AH27" s="386"/>
      <c r="AI27" s="343">
        <f>IF(ISERROR(VLOOKUP(N$6&amp;$C27,'◆（運営）③結果入力'!$D$16:$K$345,5,FALSE)),IF(VLOOKUP(N$6&amp;$C27,'◆（運営）③結果入力'!$E$16:$K$345,7,FALSE)="","",VLOOKUP(N$6&amp;$C27,'◆（運営）③結果入力'!$E$16:$K$345,7,FALSE)),IF(VLOOKUP(N$6&amp;$C27,'◆（運営）③結果入力'!$D$16:$K$345,5,FALSE)="","",VLOOKUP(N$6&amp;$C27,'◆（運営）③結果入力'!$D$16:$K$345,5,FALSE)))</f>
      </c>
      <c r="AJ27" s="343">
        <f>IF(O19="","",IF(ISERROR(VLOOKUP(O$6&amp;$C27,'◆（運営）③結果入力'!$D$16:$K$345,5,FALSE)),IF(VLOOKUP(O$6&amp;$C27,'◆（運営）③結果入力'!$E$16:$K$345,7,FALSE)="","",VLOOKUP(O$6&amp;$C27,'◆（運営）③結果入力'!$E$16:$K$345,7,FALSE)),IF(VLOOKUP(O$6&amp;$C27,'◆（運営）③結果入力'!$D$16:$K$345,5,FALSE)="","",VLOOKUP(O$6&amp;$C27,'◆（運営）③結果入力'!$D$16:$K$345,5,FALSE))))</f>
      </c>
      <c r="AK27" s="343"/>
      <c r="AL27" s="344"/>
      <c r="AM27" s="345">
        <f t="shared" si="24"/>
      </c>
      <c r="AO27" s="335">
        <f t="shared" si="25"/>
        <v>0</v>
      </c>
      <c r="AP27" s="335">
        <f t="shared" si="26"/>
        <v>0</v>
      </c>
      <c r="AQ27" s="335">
        <f t="shared" si="27"/>
        <v>0</v>
      </c>
      <c r="AR27" s="335">
        <f t="shared" si="28"/>
        <v>0</v>
      </c>
      <c r="AS27" s="335">
        <f t="shared" si="29"/>
        <v>17</v>
      </c>
    </row>
    <row r="28" spans="1:45" ht="12" customHeight="1">
      <c r="A28" s="274">
        <v>9</v>
      </c>
      <c r="B28" s="315" t="str">
        <f t="shared" si="15"/>
        <v>岐阜</v>
      </c>
      <c r="C28" s="316" t="str">
        <f>IF(B28="","",VLOOKUP(B28,'ブロック表'!$C$4:$N$15,5,FALSE))</f>
        <v>辻 和美</v>
      </c>
      <c r="D28" s="317"/>
      <c r="E28" s="318"/>
      <c r="F28" s="319">
        <f>IF(ISERROR(VLOOKUP(F$6&amp;$C28,'◆（運営）③結果入力'!$D$16:$I$345,6,FALSE)),IF(VLOOKUP(F$6&amp;$C28,'◆（運営）③結果入力'!$E$16:$J$345,6,FALSE)="","",VLOOKUP(F$6&amp;$C28,'◆（運営）③結果入力'!$E$16:$J$345,6,FALSE)),IF(VLOOKUP(F$6&amp;$C28,'◆（運営）③結果入力'!$D$16:$I$345,6,FALSE)="","",VLOOKUP(F$6&amp;$C28,'◆（運営）③結果入力'!$D$16:$I$345,6,FALSE)))</f>
        <v>28</v>
      </c>
      <c r="G28" s="320">
        <f>IF(ISERROR(VLOOKUP(G$6&amp;$C28,'◆（運営）③結果入力'!$D$16:$I$345,6,FALSE)),IF(VLOOKUP(G$6&amp;$C28,'◆（運営）③結果入力'!$E$16:$J$345,6,FALSE)="","",VLOOKUP(G$6&amp;$C28,'◆（運営）③結果入力'!$E$16:$J$345,6,FALSE)),IF(VLOOKUP(G$6&amp;$C28,'◆（運営）③結果入力'!$D$16:$I$345,6,FALSE)="","",VLOOKUP(G$6&amp;$C28,'◆（運営）③結果入力'!$D$16:$I$345,6,FALSE)))</f>
        <v>82</v>
      </c>
      <c r="H28" s="320">
        <f>IF(ISERROR(VLOOKUP(H$6&amp;$C28,'◆（運営）③結果入力'!$D$16:$I$345,6,FALSE)),IF(VLOOKUP(H$6&amp;$C28,'◆（運営）③結果入力'!$E$16:$J$345,6,FALSE)="","",VLOOKUP(H$6&amp;$C28,'◆（運営）③結果入力'!$E$16:$J$345,6,FALSE)),IF(VLOOKUP(H$6&amp;$C28,'◆（運営）③結果入力'!$D$16:$I$345,6,FALSE)="","",VLOOKUP(H$6&amp;$C28,'◆（運営）③結果入力'!$D$16:$I$345,6,FALSE)))</f>
        <v>49</v>
      </c>
      <c r="I28" s="320">
        <f>IF(ISERROR(VLOOKUP(I$6&amp;$C28,'◆（運営）③結果入力'!$D$16:$I$345,6,FALSE)),IF(VLOOKUP(I$6&amp;$C28,'◆（運営）③結果入力'!$E$16:$J$345,6,FALSE)="","",VLOOKUP(I$6&amp;$C28,'◆（運営）③結果入力'!$E$16:$J$345,6,FALSE)),IF(VLOOKUP(I$6&amp;$C28,'◆（運営）③結果入力'!$D$16:$I$345,6,FALSE)="","",VLOOKUP(I$6&amp;$C28,'◆（運営）③結果入力'!$D$16:$I$345,6,FALSE)))</f>
        <v>3</v>
      </c>
      <c r="J28" s="320">
        <f>IF(ISERROR(VLOOKUP(J$6&amp;$C28,'◆（運営）③結果入力'!$D$16:$I$345,6,FALSE)),IF(VLOOKUP(J$6&amp;$C28,'◆（運営）③結果入力'!$E$16:$J$345,6,FALSE)="","",VLOOKUP(J$6&amp;$C28,'◆（運営）③結果入力'!$E$16:$J$345,6,FALSE)),IF(VLOOKUP(J$6&amp;$C28,'◆（運営）③結果入力'!$D$16:$I$345,6,FALSE)="","",VLOOKUP(J$6&amp;$C28,'◆（運営）③結果入力'!$D$16:$I$345,6,FALSE)))</f>
        <v>70</v>
      </c>
      <c r="K28" s="320" t="str">
        <f>IF(ISERROR(VLOOKUP(K$6&amp;$C28,'◆（運営）③結果入力'!$D$16:$I$345,6,FALSE)),IF(VLOOKUP(K$6&amp;$C28,'◆（運営）③結果入力'!$E$16:$J$345,6,FALSE)="","",VLOOKUP(K$6&amp;$C28,'◆（運営）③結果入力'!$E$16:$J$345,6,FALSE)),IF(VLOOKUP(K$6&amp;$C28,'◆（運営）③結果入力'!$D$16:$I$345,6,FALSE)="","",VLOOKUP(K$6&amp;$C28,'◆（運営）③結果入力'!$D$16:$I$345,6,FALSE)))</f>
        <v>W</v>
      </c>
      <c r="L28" s="320" t="str">
        <f>IF(ISERROR(VLOOKUP(L$6&amp;$C28,'◆（運営）③結果入力'!$D$16:$I$345,6,FALSE)),IF(VLOOKUP(L$6&amp;$C28,'◆（運営）③結果入力'!$E$16:$J$345,6,FALSE)="","",VLOOKUP(L$6&amp;$C28,'◆（運営）③結果入力'!$E$16:$J$345,6,FALSE)),IF(VLOOKUP(L$6&amp;$C28,'◆（運営）③結果入力'!$D$16:$I$345,6,FALSE)="","",VLOOKUP(L$6&amp;$C28,'◆（運営）③結果入力'!$D$16:$I$345,6,FALSE)))</f>
        <v>W</v>
      </c>
      <c r="M28" s="320">
        <f>IF(ISERROR(VLOOKUP(M$6&amp;$C28,'◆（運営）③結果入力'!$D$16:$I$345,6,FALSE)),IF(VLOOKUP(M$6&amp;$C28,'◆（運営）③結果入力'!$E$16:$J$345,6,FALSE)="","",VLOOKUP(M$6&amp;$C28,'◆（運営）③結果入力'!$E$16:$J$345,6,FALSE)),IF(VLOOKUP(M$6&amp;$C28,'◆（運営）③結果入力'!$D$16:$I$345,6,FALSE)="","",VLOOKUP(M$6&amp;$C28,'◆（運営）③結果入力'!$D$16:$I$345,6,FALSE)))</f>
        <v>53</v>
      </c>
      <c r="N28" s="383"/>
      <c r="O28" s="320" t="str">
        <f>IF(O19="","",IF(ISERROR(VLOOKUP(O$6&amp;$C28,'◆（運営）③結果入力'!$D$16:$I$345,6,FALSE)),IF(VLOOKUP(O$6&amp;$C28,'◆（運営）③結果入力'!$E$16:$J$345,6,FALSE)="","",VLOOKUP(O$6&amp;$C28,'◆（運営）③結果入力'!$E$16:$J$345,6,FALSE)),IF(VLOOKUP(O$6&amp;$C28,'◆（運営）③結果入力'!$D$16:$I$345,6,FALSE)="","",VLOOKUP(O$6&amp;$C28,'◆（運営）③結果入力'!$D$16:$I$345,6,FALSE))))</f>
        <v>W</v>
      </c>
      <c r="P28" s="340">
        <f t="shared" si="16"/>
        <v>3</v>
      </c>
      <c r="Q28" s="200">
        <f t="shared" si="17"/>
        <v>6</v>
      </c>
      <c r="R28" s="341">
        <f t="shared" si="18"/>
        <v>645</v>
      </c>
      <c r="S28" s="341">
        <f>IF(COUNTBLANK(F28:O28)=10,"",SUM(N20:N29)+(Q28*120))</f>
        <v>1031</v>
      </c>
      <c r="T28" s="303">
        <f t="shared" si="30"/>
        <v>8</v>
      </c>
      <c r="U28" s="276">
        <f t="shared" si="19"/>
        <v>9</v>
      </c>
      <c r="V28" s="276">
        <f t="shared" si="20"/>
        <v>0</v>
      </c>
      <c r="W28" s="276">
        <f t="shared" si="21"/>
        <v>306448969</v>
      </c>
      <c r="X28" s="276">
        <f>IF(W28=0,"",IF(W28=MAX($W$15,$W$28,$W$41,$W$54,$W$67),1,""))</f>
      </c>
      <c r="Y28" s="276" t="str">
        <f t="shared" si="22"/>
        <v>岐阜</v>
      </c>
      <c r="Z28" s="276" t="str">
        <f t="shared" si="23"/>
        <v>辻 和美</v>
      </c>
      <c r="AA28" s="342">
        <f>IF(ISERROR(VLOOKUP(F$6&amp;$C28,'◆（運営）③結果入力'!$D$16:$K$345,5,FALSE)),IF(VLOOKUP(F$6&amp;$C28,'◆（運営）③結果入力'!$E$16:$K$345,7,FALSE)="","",VLOOKUP(F$6&amp;$C28,'◆（運営）③結果入力'!$E$16:$K$345,7,FALSE)),IF(VLOOKUP(F$6&amp;$C28,'◆（運営）③結果入力'!$D$16:$K$345,5,FALSE)="","",VLOOKUP(F$6&amp;$C28,'◆（運営）③結果入力'!$D$16:$K$345,5,FALSE)))</f>
      </c>
      <c r="AB28" s="343">
        <f>IF(ISERROR(VLOOKUP(G$6&amp;$C28,'◆（運営）③結果入力'!$D$16:$K$345,5,FALSE)),IF(VLOOKUP(G$6&amp;$C28,'◆（運営）③結果入力'!$E$16:$K$345,7,FALSE)="","",VLOOKUP(G$6&amp;$C28,'◆（運営）③結果入力'!$E$16:$K$345,7,FALSE)),IF(VLOOKUP(G$6&amp;$C28,'◆（運営）③結果入力'!$D$16:$K$345,5,FALSE)="","",VLOOKUP(G$6&amp;$C28,'◆（運営）③結果入力'!$D$16:$K$345,5,FALSE)))</f>
      </c>
      <c r="AC28" s="343">
        <f>IF(ISERROR(VLOOKUP(H$6&amp;$C28,'◆（運営）③結果入力'!$D$16:$K$345,5,FALSE)),IF(VLOOKUP(H$6&amp;$C28,'◆（運営）③結果入力'!$E$16:$K$345,7,FALSE)="","",VLOOKUP(H$6&amp;$C28,'◆（運営）③結果入力'!$E$16:$K$345,7,FALSE)),IF(VLOOKUP(H$6&amp;$C28,'◆（運営）③結果入力'!$D$16:$K$345,5,FALSE)="","",VLOOKUP(H$6&amp;$C28,'◆（運営）③結果入力'!$D$16:$K$345,5,FALSE)))</f>
      </c>
      <c r="AD28" s="343">
        <f>IF(ISERROR(VLOOKUP(I$6&amp;$C28,'◆（運営）③結果入力'!$D$16:$K$345,5,FALSE)),IF(VLOOKUP(I$6&amp;$C28,'◆（運営）③結果入力'!$E$16:$K$345,7,FALSE)="","",VLOOKUP(I$6&amp;$C28,'◆（運営）③結果入力'!$E$16:$K$345,7,FALSE)),IF(VLOOKUP(I$6&amp;$C28,'◆（運営）③結果入力'!$D$16:$K$345,5,FALSE)="","",VLOOKUP(I$6&amp;$C28,'◆（運営）③結果入力'!$D$16:$K$345,5,FALSE)))</f>
      </c>
      <c r="AE28" s="343">
        <f>IF(ISERROR(VLOOKUP(J$6&amp;$C28,'◆（運営）③結果入力'!$D$16:$K$345,5,FALSE)),IF(VLOOKUP(J$6&amp;$C28,'◆（運営）③結果入力'!$E$16:$K$345,7,FALSE)="","",VLOOKUP(J$6&amp;$C28,'◆（運営）③結果入力'!$E$16:$K$345,7,FALSE)),IF(VLOOKUP(J$6&amp;$C28,'◆（運営）③結果入力'!$D$16:$K$345,5,FALSE)="","",VLOOKUP(J$6&amp;$C28,'◆（運営）③結果入力'!$D$16:$K$345,5,FALSE)))</f>
      </c>
      <c r="AF28" s="343">
        <f>IF(ISERROR(VLOOKUP(K$6&amp;$C28,'◆（運営）③結果入力'!$D$16:$K$345,5,FALSE)),IF(VLOOKUP(K$6&amp;$C28,'◆（運営）③結果入力'!$E$16:$K$345,7,FALSE)="","",VLOOKUP(K$6&amp;$C28,'◆（運営）③結果入力'!$E$16:$K$345,7,FALSE)),IF(VLOOKUP(K$6&amp;$C28,'◆（運営）③結果入力'!$D$16:$K$345,5,FALSE)="","",VLOOKUP(K$6&amp;$C28,'◆（運営）③結果入力'!$D$16:$K$345,5,FALSE)))</f>
      </c>
      <c r="AG28" s="343">
        <f>IF(ISERROR(VLOOKUP(L$6&amp;$C28,'◆（運営）③結果入力'!$D$16:$K$345,5,FALSE)),IF(VLOOKUP(L$6&amp;$C28,'◆（運営）③結果入力'!$E$16:$K$345,7,FALSE)="","",VLOOKUP(L$6&amp;$C28,'◆（運営）③結果入力'!$E$16:$K$345,7,FALSE)),IF(VLOOKUP(L$6&amp;$C28,'◆（運営）③結果入力'!$D$16:$K$345,5,FALSE)="","",VLOOKUP(L$6&amp;$C28,'◆（運営）③結果入力'!$D$16:$K$345,5,FALSE)))</f>
      </c>
      <c r="AH28" s="343">
        <f>IF(ISERROR(VLOOKUP(M$6&amp;$C28,'◆（運営）③結果入力'!$D$16:$K$345,5,FALSE)),IF(VLOOKUP(M$6&amp;$C28,'◆（運営）③結果入力'!$E$16:$K$345,7,FALSE)="","",VLOOKUP(M$6&amp;$C28,'◆（運営）③結果入力'!$E$16:$K$345,7,FALSE)),IF(VLOOKUP(M$6&amp;$C28,'◆（運営）③結果入力'!$D$16:$K$345,5,FALSE)="","",VLOOKUP(M$6&amp;$C28,'◆（運営）③結果入力'!$D$16:$K$345,5,FALSE)))</f>
      </c>
      <c r="AI28" s="386"/>
      <c r="AJ28" s="343">
        <f>IF(O19="","",IF(ISERROR(VLOOKUP(O$6&amp;$C28,'◆（運営）③結果入力'!$D$16:$K$345,5,FALSE)),IF(VLOOKUP(O$6&amp;$C28,'◆（運営）③結果入力'!$E$16:$K$345,7,FALSE)="","",VLOOKUP(O$6&amp;$C28,'◆（運営）③結果入力'!$E$16:$K$345,7,FALSE)),IF(VLOOKUP(O$6&amp;$C28,'◆（運営）③結果入力'!$D$16:$K$345,5,FALSE)="","",VLOOKUP(O$6&amp;$C28,'◆（運営）③結果入力'!$D$16:$K$345,5,FALSE))))</f>
      </c>
      <c r="AK28" s="343"/>
      <c r="AL28" s="344"/>
      <c r="AM28" s="345">
        <f t="shared" si="24"/>
      </c>
      <c r="AO28" s="335">
        <f t="shared" si="25"/>
        <v>0</v>
      </c>
      <c r="AP28" s="335">
        <f t="shared" si="26"/>
        <v>0</v>
      </c>
      <c r="AQ28" s="335">
        <f t="shared" si="27"/>
        <v>0</v>
      </c>
      <c r="AR28" s="335">
        <f t="shared" si="28"/>
        <v>0</v>
      </c>
      <c r="AS28" s="335">
        <f t="shared" si="29"/>
        <v>17</v>
      </c>
    </row>
    <row r="29" spans="1:45" ht="12.75" customHeight="1">
      <c r="A29" s="274">
        <v>10</v>
      </c>
      <c r="B29" s="321" t="str">
        <f t="shared" si="15"/>
        <v>大阪B</v>
      </c>
      <c r="C29" s="322" t="str">
        <f>IF(B29="","",VLOOKUP(B29,'ブロック表'!$C$4:$N$15,5,FALSE))</f>
        <v>西田 恵子</v>
      </c>
      <c r="D29" s="323"/>
      <c r="E29" s="324"/>
      <c r="F29" s="325">
        <f>IF(C29="","",IF(ISERROR(VLOOKUP(F$6&amp;$C29,'◆（運営）③結果入力'!$D$16:$I$345,6,FALSE)),IF(VLOOKUP(F$6&amp;$C29,'◆（運営）③結果入力'!$E$16:$J$345,6,FALSE)="","",VLOOKUP(F$6&amp;$C29,'◆（運営）③結果入力'!$E$16:$J$345,6,FALSE)),IF(VLOOKUP(F$6&amp;$C29,'◆（運営）③結果入力'!$D$16:$I$345,6,FALSE)="","",VLOOKUP(F$6&amp;$C29,'◆（運営）③結果入力'!$D$16:$I$345,6,FALSE))))</f>
        <v>28</v>
      </c>
      <c r="G29" s="327">
        <f>IF(C29="","",IF(ISERROR(VLOOKUP(G$6&amp;$C29,'◆（運営）③結果入力'!$D$16:$I$345,6,FALSE)),IF(VLOOKUP(G$6&amp;$C29,'◆（運営）③結果入力'!$E$16:$J$345,6,FALSE)="","",VLOOKUP(G$6&amp;$C29,'◆（運営）③結果入力'!$E$16:$J$345,6,FALSE)),IF(VLOOKUP(G$6&amp;$C29,'◆（運営）③結果入力'!$D$16:$I$345,6,FALSE)="","",VLOOKUP(G$6&amp;$C29,'◆（運営）③結果入力'!$D$16:$I$345,6,FALSE))))</f>
        <v>33</v>
      </c>
      <c r="H29" s="327" t="str">
        <f>IF(C29="","",IF(ISERROR(VLOOKUP(H$6&amp;$C29,'◆（運営）③結果入力'!$D$16:$I$345,6,FALSE)),IF(VLOOKUP(H$6&amp;$C29,'◆（運営）③結果入力'!$E$16:$J$345,6,FALSE)="","",VLOOKUP(H$6&amp;$C29,'◆（運営）③結果入力'!$E$16:$J$345,6,FALSE)),IF(VLOOKUP(H$6&amp;$C29,'◆（運営）③結果入力'!$D$16:$I$345,6,FALSE)="","",VLOOKUP(H$6&amp;$C29,'◆（運営）③結果入力'!$D$16:$I$345,6,FALSE))))</f>
        <v>W</v>
      </c>
      <c r="I29" s="327">
        <f>IF(C29="","",IF(ISERROR(VLOOKUP(I$6&amp;$C29,'◆（運営）③結果入力'!$D$16:$I$345,6,FALSE)),IF(VLOOKUP(I$6&amp;$C29,'◆（運営）③結果入力'!$E$16:$J$345,6,FALSE)="","",VLOOKUP(I$6&amp;$C29,'◆（運営）③結果入力'!$E$16:$J$345,6,FALSE)),IF(VLOOKUP(I$6&amp;$C29,'◆（運営）③結果入力'!$D$16:$I$345,6,FALSE)="","",VLOOKUP(I$6&amp;$C29,'◆（運営）③結果入力'!$D$16:$I$345,6,FALSE))))</f>
        <v>109</v>
      </c>
      <c r="J29" s="327">
        <f>IF(C29="","",IF(ISERROR(VLOOKUP(J$6&amp;$C29,'◆（運営）③結果入力'!$D$16:$I$345,6,FALSE)),IF(VLOOKUP(J$6&amp;$C29,'◆（運営）③結果入力'!$E$16:$J$345,6,FALSE)="","",VLOOKUP(J$6&amp;$C29,'◆（運営）③結果入力'!$E$16:$J$345,6,FALSE)),IF(VLOOKUP(J$6&amp;$C29,'◆（運営）③結果入力'!$D$16:$I$345,6,FALSE)="","",VLOOKUP(J$6&amp;$C29,'◆（運営）③結果入力'!$D$16:$I$345,6,FALSE))))</f>
        <v>30</v>
      </c>
      <c r="K29" s="327">
        <f>IF(C29="","",IF(ISERROR(VLOOKUP(K$6&amp;$C29,'◆（運営）③結果入力'!$D$16:$I$345,6,FALSE)),IF(VLOOKUP(K$6&amp;$C29,'◆（運営）③結果入力'!$E$16:$J$345,6,FALSE)="","",VLOOKUP(K$6&amp;$C29,'◆（運営）③結果入力'!$E$16:$J$345,6,FALSE)),IF(VLOOKUP(K$6&amp;$C29,'◆（運営）③結果入力'!$D$16:$I$345,6,FALSE)="","",VLOOKUP(K$6&amp;$C29,'◆（運営）③結果入力'!$D$16:$I$345,6,FALSE))))</f>
        <v>114</v>
      </c>
      <c r="L29" s="327" t="str">
        <f>IF(C29="","",IF(ISERROR(VLOOKUP(L$6&amp;$C29,'◆（運営）③結果入力'!$D$16:$I$345,6,FALSE)),IF(VLOOKUP(L$6&amp;$C29,'◆（運営）③結果入力'!$E$16:$J$345,6,FALSE)="","",VLOOKUP(L$6&amp;$C29,'◆（運営）③結果入力'!$E$16:$J$345,6,FALSE)),IF(VLOOKUP(L$6&amp;$C29,'◆（運営）③結果入力'!$D$16:$I$345,6,FALSE)="","",VLOOKUP(L$6&amp;$C29,'◆（運営）③結果入力'!$D$16:$I$345,6,FALSE))))</f>
        <v>W</v>
      </c>
      <c r="M29" s="327">
        <f>IF(C29="","",IF(ISERROR(VLOOKUP(M$6&amp;$C29,'◆（運営）③結果入力'!$D$16:$I$345,6,FALSE)),IF(VLOOKUP(M$6&amp;$C29,'◆（運営）③結果入力'!$E$16:$J$345,6,FALSE)="","",VLOOKUP(M$6&amp;$C29,'◆（運営）③結果入力'!$E$16:$J$345,6,FALSE)),IF(VLOOKUP(M$6&amp;$C29,'◆（運営）③結果入力'!$D$16:$I$345,6,FALSE)="","",VLOOKUP(M$6&amp;$C29,'◆（運営）③結果入力'!$D$16:$I$345,6,FALSE))))</f>
        <v>56</v>
      </c>
      <c r="N29" s="327">
        <f>IF(C29="","",IF(ISERROR(VLOOKUP(N$6&amp;$C29,'◆（運営）③結果入力'!$D$16:$I$345,6,FALSE)),IF(VLOOKUP(N$6&amp;$C29,'◆（運営）③結果入力'!$E$16:$J$345,6,FALSE)="","",VLOOKUP(N$6&amp;$C29,'◆（運営）③結果入力'!$E$16:$J$345,6,FALSE)),IF(VLOOKUP(N$6&amp;$C29,'◆（運営）③結果入力'!$D$16:$I$345,6,FALSE)="","",VLOOKUP(N$6&amp;$C29,'◆（運営）③結果入力'!$D$16:$I$345,6,FALSE))))</f>
        <v>118</v>
      </c>
      <c r="O29" s="384"/>
      <c r="P29" s="346">
        <f t="shared" si="16"/>
        <v>2</v>
      </c>
      <c r="Q29" s="326">
        <f t="shared" si="17"/>
        <v>7</v>
      </c>
      <c r="R29" s="347">
        <f t="shared" si="18"/>
        <v>728</v>
      </c>
      <c r="S29" s="347">
        <f>IF(COUNTBLANK(F29:O29)=10,"",SUM(O20:O29)+(Q29*120))</f>
        <v>1040</v>
      </c>
      <c r="T29" s="314">
        <f t="shared" si="30"/>
        <v>10</v>
      </c>
      <c r="U29" s="348">
        <f t="shared" si="19"/>
        <v>9</v>
      </c>
      <c r="V29" s="348">
        <f t="shared" si="20"/>
        <v>0</v>
      </c>
      <c r="W29" s="348">
        <f t="shared" si="21"/>
        <v>207278960</v>
      </c>
      <c r="X29" s="348">
        <f>IF(W29=0,"",IF(W29=MAX($W$16,$W$29,$W$42,$W$55,$W$68),1,""))</f>
      </c>
      <c r="Y29" s="348" t="str">
        <f t="shared" si="22"/>
        <v>大阪B</v>
      </c>
      <c r="Z29" s="348" t="str">
        <f t="shared" si="23"/>
        <v>西田 恵子</v>
      </c>
      <c r="AA29" s="349">
        <f>IF(C29="","",IF(ISERROR(VLOOKUP(F$6&amp;$C29,'◆（運営）③結果入力'!$D$16:$K$345,5,FALSE)),IF(VLOOKUP(F$6&amp;$C29,'◆（運営）③結果入力'!$E$16:$K$345,7,FALSE)="","",VLOOKUP(F$6&amp;$C29,'◆（運営）③結果入力'!$E$16:$K$345,7,FALSE)),IF(VLOOKUP(F$6&amp;$C29,'◆（運営）③結果入力'!$D$16:$K$345,5,FALSE)="","",VLOOKUP(F$6&amp;$C29,'◆（運営）③結果入力'!$D$16:$K$345,5,FALSE))))</f>
      </c>
      <c r="AB29" s="350">
        <f>IF(C29="","",IF(ISERROR(VLOOKUP(G$6&amp;$C29,'◆（運営）③結果入力'!$D$16:$K$345,5,FALSE)),IF(VLOOKUP(G$6&amp;$C29,'◆（運営）③結果入力'!$E$16:$K$345,7,FALSE)="","",VLOOKUP(G$6&amp;$C29,'◆（運営）③結果入力'!$E$16:$K$345,7,FALSE)),IF(VLOOKUP(G$6&amp;$C29,'◆（運営）③結果入力'!$D$16:$K$345,5,FALSE)="","",VLOOKUP(G$6&amp;$C29,'◆（運営）③結果入力'!$D$16:$K$345,5,FALSE))))</f>
      </c>
      <c r="AC29" s="350">
        <f>IF(C29="","",IF(ISERROR(VLOOKUP(H$6&amp;$C29,'◆（運営）③結果入力'!$D$16:$K$345,5,FALSE)),IF(VLOOKUP(H$6&amp;$C29,'◆（運営）③結果入力'!$E$16:$K$345,7,FALSE)="","",VLOOKUP(H$6&amp;$C29,'◆（運営）③結果入力'!$E$16:$K$345,7,FALSE)),IF(VLOOKUP(H$6&amp;$C29,'◆（運営）③結果入力'!$D$16:$K$345,5,FALSE)="","",VLOOKUP(H$6&amp;$C29,'◆（運営）③結果入力'!$D$16:$K$345,5,FALSE))))</f>
      </c>
      <c r="AD29" s="350">
        <f>IF(C29="","",IF(ISERROR(VLOOKUP(I$6&amp;$C29,'◆（運営）③結果入力'!$D$16:$K$345,5,FALSE)),IF(VLOOKUP(I$6&amp;$C29,'◆（運営）③結果入力'!$E$16:$K$345,7,FALSE)="","",VLOOKUP(I$6&amp;$C29,'◆（運営）③結果入力'!$E$16:$K$345,7,FALSE)),IF(VLOOKUP(I$6&amp;$C29,'◆（運営）③結果入力'!$D$16:$K$345,5,FALSE)="","",VLOOKUP(I$6&amp;$C29,'◆（運営）③結果入力'!$D$16:$K$345,5,FALSE))))</f>
      </c>
      <c r="AE29" s="350">
        <f>IF(C29="","",IF(ISERROR(VLOOKUP(J$6&amp;$C29,'◆（運営）③結果入力'!$D$16:$K$345,5,FALSE)),IF(VLOOKUP(J$6&amp;$C29,'◆（運営）③結果入力'!$E$16:$K$345,7,FALSE)="","",VLOOKUP(J$6&amp;$C29,'◆（運営）③結果入力'!$E$16:$K$345,7,FALSE)),IF(VLOOKUP(J$6&amp;$C29,'◆（運営）③結果入力'!$D$16:$K$345,5,FALSE)="","",VLOOKUP(J$6&amp;$C29,'◆（運営）③結果入力'!$D$16:$K$345,5,FALSE))))</f>
      </c>
      <c r="AF29" s="350">
        <f>IF(C29="","",IF(ISERROR(VLOOKUP(K$6&amp;$C29,'◆（運営）③結果入力'!$D$16:$K$345,5,FALSE)),IF(VLOOKUP(K$6&amp;$C29,'◆（運営）③結果入力'!$E$16:$K$345,7,FALSE)="","",VLOOKUP(K$6&amp;$C29,'◆（運営）③結果入力'!$E$16:$K$345,7,FALSE)),IF(VLOOKUP(K$6&amp;$C29,'◆（運営）③結果入力'!$D$16:$K$345,5,FALSE)="","",VLOOKUP(K$6&amp;$C29,'◆（運営）③結果入力'!$D$16:$K$345,5,FALSE))))</f>
      </c>
      <c r="AG29" s="350">
        <f>IF(C29="","",IF(ISERROR(VLOOKUP(L$6&amp;$C29,'◆（運営）③結果入力'!$D$16:$K$345,5,FALSE)),IF(VLOOKUP(L$6&amp;$C29,'◆（運営）③結果入力'!$E$16:$K$345,7,FALSE)="","",VLOOKUP(L$6&amp;$C29,'◆（運営）③結果入力'!$E$16:$K$345,7,FALSE)),IF(VLOOKUP(L$6&amp;$C29,'◆（運営）③結果入力'!$D$16:$K$345,5,FALSE)="","",VLOOKUP(L$6&amp;$C29,'◆（運営）③結果入力'!$D$16:$K$345,5,FALSE))))</f>
      </c>
      <c r="AH29" s="350">
        <f>IF(C29="","",IF(ISERROR(VLOOKUP(M$6&amp;$C29,'◆（運営）③結果入力'!$D$16:$K$345,5,FALSE)),IF(VLOOKUP(M$6&amp;$C29,'◆（運営）③結果入力'!$E$16:$K$345,7,FALSE)="","",VLOOKUP(M$6&amp;$C29,'◆（運営）③結果入力'!$E$16:$K$345,7,FALSE)),IF(VLOOKUP(M$6&amp;$C29,'◆（運営）③結果入力'!$D$16:$K$345,5,FALSE)="","",VLOOKUP(M$6&amp;$C29,'◆（運営）③結果入力'!$D$16:$K$345,5,FALSE))))</f>
      </c>
      <c r="AI29" s="350">
        <f>IF(C29="","",IF(ISERROR(VLOOKUP(N$6&amp;$C29,'◆（運営）③結果入力'!$D$16:$K$345,5,FALSE)),IF(VLOOKUP(N$6&amp;$C29,'◆（運営）③結果入力'!$E$16:$K$345,7,FALSE)="","",VLOOKUP(N$6&amp;$C29,'◆（運営）③結果入力'!$E$16:$K$345,7,FALSE)),IF(VLOOKUP(N$6&amp;$C29,'◆（運営）③結果入力'!$D$16:$K$345,5,FALSE)="","",VLOOKUP(N$6&amp;$C29,'◆（運営）③結果入力'!$D$16:$K$345,5,FALSE))))</f>
      </c>
      <c r="AJ29" s="387"/>
      <c r="AK29" s="350"/>
      <c r="AL29" s="351"/>
      <c r="AM29" s="352">
        <f t="shared" si="24"/>
      </c>
      <c r="AO29" s="335">
        <f t="shared" si="25"/>
        <v>0</v>
      </c>
      <c r="AP29" s="335">
        <f t="shared" si="26"/>
        <v>0</v>
      </c>
      <c r="AQ29" s="335">
        <f t="shared" si="27"/>
        <v>0</v>
      </c>
      <c r="AR29" s="335">
        <f t="shared" si="28"/>
        <v>0</v>
      </c>
      <c r="AS29" s="335">
        <f t="shared" si="29"/>
        <v>17</v>
      </c>
    </row>
    <row r="30" spans="3:22" ht="12" customHeight="1">
      <c r="C30" s="3"/>
      <c r="D30" s="3"/>
      <c r="U30" s="276"/>
      <c r="V30" s="276"/>
    </row>
    <row r="31" spans="3:15" ht="12.75" customHeight="1">
      <c r="C31" s="274">
        <f>C5+2</f>
        <v>3</v>
      </c>
      <c r="D31" s="274" t="str">
        <f>D5</f>
        <v>組</v>
      </c>
      <c r="F31" s="30">
        <v>1</v>
      </c>
      <c r="G31" s="30">
        <v>2</v>
      </c>
      <c r="H31" s="30">
        <v>3</v>
      </c>
      <c r="I31" s="30">
        <v>4</v>
      </c>
      <c r="J31" s="30">
        <v>5</v>
      </c>
      <c r="K31" s="30">
        <v>6</v>
      </c>
      <c r="L31" s="30">
        <v>7</v>
      </c>
      <c r="M31" s="30">
        <v>8</v>
      </c>
      <c r="N31" s="30">
        <v>9</v>
      </c>
      <c r="O31" s="30">
        <v>10</v>
      </c>
    </row>
    <row r="32" spans="2:45" ht="50.25" customHeight="1">
      <c r="B32" s="280" t="s">
        <v>229</v>
      </c>
      <c r="C32" s="281" t="s">
        <v>74</v>
      </c>
      <c r="D32" s="282"/>
      <c r="E32" s="283"/>
      <c r="F32" s="284" t="str">
        <f>B33</f>
        <v>兵庫</v>
      </c>
      <c r="G32" s="285" t="str">
        <f>B34</f>
        <v>愛知</v>
      </c>
      <c r="H32" s="285" t="str">
        <f>B35</f>
        <v>京都</v>
      </c>
      <c r="I32" s="285" t="str">
        <f>B36</f>
        <v>大阪A</v>
      </c>
      <c r="J32" s="285" t="str">
        <f>B37</f>
        <v>和歌山</v>
      </c>
      <c r="K32" s="285" t="str">
        <f>B38</f>
        <v>滋賀</v>
      </c>
      <c r="L32" s="285" t="str">
        <f>B39</f>
        <v>奈良</v>
      </c>
      <c r="M32" s="285" t="str">
        <f>B40</f>
        <v>三重</v>
      </c>
      <c r="N32" s="285" t="str">
        <f>B41:B41</f>
        <v>岐阜</v>
      </c>
      <c r="O32" s="285" t="str">
        <f>B42</f>
        <v>大阪B</v>
      </c>
      <c r="P32" s="286" t="s">
        <v>230</v>
      </c>
      <c r="Q32" s="287" t="s">
        <v>231</v>
      </c>
      <c r="R32" s="287" t="s">
        <v>232</v>
      </c>
      <c r="S32" s="287" t="s">
        <v>233</v>
      </c>
      <c r="T32" s="328" t="s">
        <v>234</v>
      </c>
      <c r="U32" s="329" t="s">
        <v>235</v>
      </c>
      <c r="V32" s="329" t="s">
        <v>236</v>
      </c>
      <c r="W32" s="330" t="s">
        <v>237</v>
      </c>
      <c r="X32" s="331"/>
      <c r="Y32" s="331"/>
      <c r="Z32" s="331"/>
      <c r="AA32" s="406" t="s">
        <v>45</v>
      </c>
      <c r="AB32" s="406"/>
      <c r="AC32" s="406"/>
      <c r="AD32" s="406"/>
      <c r="AE32" s="406"/>
      <c r="AF32" s="406"/>
      <c r="AG32" s="406"/>
      <c r="AH32" s="406"/>
      <c r="AI32" s="406"/>
      <c r="AJ32" s="406"/>
      <c r="AK32" s="406"/>
      <c r="AL32" s="407"/>
      <c r="AM32" s="332" t="s">
        <v>238</v>
      </c>
      <c r="AO32" s="333" t="s">
        <v>239</v>
      </c>
      <c r="AP32" s="333" t="s">
        <v>240</v>
      </c>
      <c r="AQ32" s="333" t="s">
        <v>241</v>
      </c>
      <c r="AR32" s="334" t="s">
        <v>242</v>
      </c>
      <c r="AS32" s="335" t="s">
        <v>243</v>
      </c>
    </row>
    <row r="33" spans="1:45" ht="12.75" customHeight="1">
      <c r="A33" s="274">
        <v>1</v>
      </c>
      <c r="B33" s="292" t="str">
        <f aca="true" t="shared" si="31" ref="B33:B42">B7</f>
        <v>兵庫</v>
      </c>
      <c r="C33" s="293" t="str">
        <f>IF(B33="","",VLOOKUP(B33,'ブロック表'!$C$4:$N$15,7,FALSE))</f>
        <v>森 映智</v>
      </c>
      <c r="D33" s="294"/>
      <c r="E33" s="295"/>
      <c r="F33" s="382"/>
      <c r="G33" s="297" t="str">
        <f>IF(ISERROR(VLOOKUP(G$6&amp;$C33,'◆（運営）③結果入力'!$D$16:$I$345,6,FALSE)),IF(VLOOKUP(G$6&amp;$C33,'◆（運営）③結果入力'!$E$16:$J$345,6,FALSE)="","",VLOOKUP(G$6&amp;$C33,'◆（運営）③結果入力'!$E$16:$J$345,6,FALSE)),IF(VLOOKUP(G$6&amp;$C33,'◆（運営）③結果入力'!$D$16:$I$345,6,FALSE)="","",VLOOKUP(G$6&amp;$C33,'◆（運営）③結果入力'!$D$16:$I$345,6,FALSE)))</f>
        <v>W</v>
      </c>
      <c r="H33" s="297">
        <f>IF(ISERROR(VLOOKUP(H$6&amp;$C33,'◆（運営）③結果入力'!$D$16:$I$345,6,FALSE)),IF(VLOOKUP(H$6&amp;$C33,'◆（運営）③結果入力'!$E$16:$J$345,6,FALSE)="","",VLOOKUP(H$6&amp;$C33,'◆（運営）③結果入力'!$E$16:$J$345,6,FALSE)),IF(VLOOKUP(H$6&amp;$C33,'◆（運営）③結果入力'!$D$16:$I$345,6,FALSE)="","",VLOOKUP(H$6&amp;$C33,'◆（運営）③結果入力'!$D$16:$I$345,6,FALSE)))</f>
        <v>98</v>
      </c>
      <c r="I33" s="297" t="str">
        <f>IF(ISERROR(VLOOKUP(I$6&amp;$C33,'◆（運営）③結果入力'!$D$16:$I$345,6,FALSE)),IF(VLOOKUP(I$6&amp;$C33,'◆（運営）③結果入力'!$E$16:$J$345,6,FALSE)="","",VLOOKUP(I$6&amp;$C33,'◆（運営）③結果入力'!$E$16:$J$345,6,FALSE)),IF(VLOOKUP(I$6&amp;$C33,'◆（運営）③結果入力'!$D$16:$I$345,6,FALSE)="","",VLOOKUP(I$6&amp;$C33,'◆（運営）③結果入力'!$D$16:$I$345,6,FALSE)))</f>
        <v>W</v>
      </c>
      <c r="J33" s="297">
        <f>IF(ISERROR(VLOOKUP(J$6&amp;$C33,'◆（運営）③結果入力'!$D$16:$I$345,6,FALSE)),IF(VLOOKUP(J$6&amp;$C33,'◆（運営）③結果入力'!$E$16:$J$345,6,FALSE)="","",VLOOKUP(J$6&amp;$C33,'◆（運営）③結果入力'!$E$16:$J$345,6,FALSE)),IF(VLOOKUP(J$6&amp;$C33,'◆（運営）③結果入力'!$D$16:$I$345,6,FALSE)="","",VLOOKUP(J$6&amp;$C33,'◆（運営）③結果入力'!$D$16:$I$345,6,FALSE)))</f>
        <v>105</v>
      </c>
      <c r="K33" s="297">
        <f>IF(ISERROR(VLOOKUP(K$6&amp;$C33,'◆（運営）③結果入力'!$D$16:$I$345,6,FALSE)),IF(VLOOKUP(K$6&amp;$C33,'◆（運営）③結果入力'!$E$16:$J$345,6,FALSE)="","",VLOOKUP(K$6&amp;$C33,'◆（運営）③結果入力'!$E$16:$J$345,6,FALSE)),IF(VLOOKUP(K$6&amp;$C33,'◆（運営）③結果入力'!$D$16:$I$345,6,FALSE)="","",VLOOKUP(K$6&amp;$C33,'◆（運営）③結果入力'!$D$16:$I$345,6,FALSE)))</f>
        <v>69</v>
      </c>
      <c r="L33" s="297" t="str">
        <f>IF(ISERROR(VLOOKUP(L$6&amp;$C33,'◆（運営）③結果入力'!$D$16:$I$345,6,FALSE)),IF(VLOOKUP(L$6&amp;$C33,'◆（運営）③結果入力'!$E$16:$J$345,6,FALSE)="","",VLOOKUP(L$6&amp;$C33,'◆（運営）③結果入力'!$E$16:$J$345,6,FALSE)),IF(VLOOKUP(L$6&amp;$C33,'◆（運営）③結果入力'!$D$16:$I$345,6,FALSE)="","",VLOOKUP(L$6&amp;$C33,'◆（運営）③結果入力'!$D$16:$I$345,6,FALSE)))</f>
        <v>W</v>
      </c>
      <c r="M33" s="297">
        <f>IF(ISERROR(VLOOKUP(M$6&amp;$C33,'◆（運営）③結果入力'!$D$16:$I$345,6,FALSE)),IF(VLOOKUP(M$6&amp;$C33,'◆（運営）③結果入力'!$E$16:$J$345,6,FALSE)="","",VLOOKUP(M$6&amp;$C33,'◆（運営）③結果入力'!$E$16:$J$345,6,FALSE)),IF(VLOOKUP(M$6&amp;$C33,'◆（運営）③結果入力'!$D$16:$I$345,6,FALSE)="","",VLOOKUP(M$6&amp;$C33,'◆（運営）③結果入力'!$D$16:$I$345,6,FALSE)))</f>
        <v>53</v>
      </c>
      <c r="N33" s="297" t="str">
        <f>IF(ISERROR(VLOOKUP(N$6&amp;$C33,'◆（運営）③結果入力'!$D$16:$I$345,6,FALSE)),IF(VLOOKUP(N$6&amp;$C33,'◆（運営）③結果入力'!$E$16:$J$345,6,FALSE)="","",VLOOKUP(N$6&amp;$C33,'◆（運営）③結果入力'!$E$16:$J$345,6,FALSE)),IF(VLOOKUP(N$6&amp;$C33,'◆（運営）③結果入力'!$D$16:$I$345,6,FALSE)="","",VLOOKUP(N$6&amp;$C33,'◆（運営）③結果入力'!$D$16:$I$345,6,FALSE)))</f>
        <v>W</v>
      </c>
      <c r="O33" s="297">
        <f>IF(O32="","",IF(ISERROR(VLOOKUP(O$6&amp;$C33,'◆（運営）③結果入力'!$D$16:$I$345,6,FALSE)),IF(VLOOKUP(O$6&amp;$C33,'◆（運営）③結果入力'!$E$16:$J$345,6,FALSE)="","",VLOOKUP(O$6&amp;$C33,'◆（運営）③結果入力'!$E$16:$J$345,6,FALSE)),IF(VLOOKUP(O$6&amp;$C33,'◆（運営）③結果入力'!$D$16:$I$345,6,FALSE)="","",VLOOKUP(O$6&amp;$C33,'◆（運営）③結果入力'!$D$16:$I$345,6,FALSE))))</f>
        <v>65</v>
      </c>
      <c r="P33" s="298">
        <f aca="true" t="shared" si="32" ref="P33:P42">IF(COUNTBLANK(F33:O33)=10,"",COUNTIF(F33:O33,"W"))</f>
        <v>4</v>
      </c>
      <c r="Q33" s="299">
        <f aca="true" t="shared" si="33" ref="Q33:Q42">IF(COUNTBLANK(F33:O33)=10,"",COUNT(F33:O33))</f>
        <v>5</v>
      </c>
      <c r="R33" s="300">
        <f aca="true" t="shared" si="34" ref="R33:R42">IF(COUNTBLANK(F33:O33)=10,"",SUM(F33:O33)+(P33*120))</f>
        <v>870</v>
      </c>
      <c r="S33" s="300">
        <f>IF(COUNTBLANK(F33:O33)=10,"",SUM(F33:F42)+(Q33*120))</f>
        <v>791</v>
      </c>
      <c r="T33" s="336">
        <f aca="true" t="shared" si="35" ref="T33:T42">IF(COUNTBLANK(F33:O33)=10,"",IF(P33+Q33=0,"",RANK(W33,$W$33:$W$42,0)))</f>
        <v>7</v>
      </c>
      <c r="U33" s="276">
        <f aca="true" t="shared" si="36" ref="U33:U42">COUNTA($F$6:$O$6)-1-V33</f>
        <v>9</v>
      </c>
      <c r="V33" s="276">
        <f aca="true" t="shared" si="37" ref="V33:V42">COUNTBLANK(F33:O33)-1</f>
        <v>0</v>
      </c>
      <c r="W33" s="276">
        <f aca="true" t="shared" si="38" ref="W33:W42">IF(P33="",0,P33*100000000+R33*10000-S33)</f>
        <v>408699209</v>
      </c>
      <c r="X33" s="276">
        <f>IF(W33=0,"",IF(W33=MAX($W$7,$W$20,$W$33,$W$46,$W$59),1,""))</f>
      </c>
      <c r="Y33" s="276" t="str">
        <f aca="true" t="shared" si="39" ref="Y33:Y42">X33&amp;B33</f>
        <v>兵庫</v>
      </c>
      <c r="Z33" s="276" t="str">
        <f aca="true" t="shared" si="40" ref="Z33:Z42">C33</f>
        <v>森 映智</v>
      </c>
      <c r="AA33" s="385"/>
      <c r="AB33" s="337">
        <f>IF(ISERROR(VLOOKUP(G$6&amp;$C33,'◆（運営）③結果入力'!$D$16:$K$345,5,FALSE)),IF(VLOOKUP(G$6&amp;$C33,'◆（運営）③結果入力'!$E$16:$K$345,7,FALSE)="","",VLOOKUP(G$6&amp;$C33,'◆（運営）③結果入力'!$E$16:$K$345,7,FALSE)),IF(VLOOKUP(G$6&amp;$C33,'◆（運営）③結果入力'!$D$16:$K$345,5,FALSE)="","",VLOOKUP(G$6&amp;$C33,'◆（運営）③結果入力'!$D$16:$K$345,5,FALSE)))</f>
      </c>
      <c r="AC33" s="337">
        <f>IF(ISERROR(VLOOKUP(H$6&amp;$C33,'◆（運営）③結果入力'!$D$16:$K$345,5,FALSE)),IF(VLOOKUP(H$6&amp;$C33,'◆（運営）③結果入力'!$E$16:$K$345,7,FALSE)="","",VLOOKUP(H$6&amp;$C33,'◆（運営）③結果入力'!$E$16:$K$345,7,FALSE)),IF(VLOOKUP(H$6&amp;$C33,'◆（運営）③結果入力'!$D$16:$K$345,5,FALSE)="","",VLOOKUP(H$6&amp;$C33,'◆（運営）③結果入力'!$D$16:$K$345,5,FALSE)))</f>
      </c>
      <c r="AD33" s="337">
        <f>IF(ISERROR(VLOOKUP(I$6&amp;$C33,'◆（運営）③結果入力'!$D$16:$K$345,5,FALSE)),IF(VLOOKUP(I$6&amp;$C33,'◆（運営）③結果入力'!$E$16:$K$345,7,FALSE)="","",VLOOKUP(I$6&amp;$C33,'◆（運営）③結果入力'!$E$16:$K$345,7,FALSE)),IF(VLOOKUP(I$6&amp;$C33,'◆（運営）③結果入力'!$D$16:$K$345,5,FALSE)="","",VLOOKUP(I$6&amp;$C33,'◆（運営）③結果入力'!$D$16:$K$345,5,FALSE)))</f>
        <v>119</v>
      </c>
      <c r="AE33" s="337">
        <f>IF(ISERROR(VLOOKUP(J$6&amp;$C33,'◆（運営）③結果入力'!$D$16:$K$345,5,FALSE)),IF(VLOOKUP(J$6&amp;$C33,'◆（運営）③結果入力'!$E$16:$K$345,7,FALSE)="","",VLOOKUP(J$6&amp;$C33,'◆（運営）③結果入力'!$E$16:$K$345,7,FALSE)),IF(VLOOKUP(J$6&amp;$C33,'◆（運営）③結果入力'!$D$16:$K$345,5,FALSE)="","",VLOOKUP(J$6&amp;$C33,'◆（運営）③結果入力'!$D$16:$K$345,5,FALSE)))</f>
      </c>
      <c r="AF33" s="337">
        <f>IF(ISERROR(VLOOKUP(K$6&amp;$C33,'◆（運営）③結果入力'!$D$16:$K$345,5,FALSE)),IF(VLOOKUP(K$6&amp;$C33,'◆（運営）③結果入力'!$E$16:$K$345,7,FALSE)="","",VLOOKUP(K$6&amp;$C33,'◆（運営）③結果入力'!$E$16:$K$345,7,FALSE)),IF(VLOOKUP(K$6&amp;$C33,'◆（運営）③結果入力'!$D$16:$K$345,5,FALSE)="","",VLOOKUP(K$6&amp;$C33,'◆（運営）③結果入力'!$D$16:$K$345,5,FALSE)))</f>
      </c>
      <c r="AG33" s="337">
        <f>IF(ISERROR(VLOOKUP(L$6&amp;$C33,'◆（運営）③結果入力'!$D$16:$K$345,5,FALSE)),IF(VLOOKUP(L$6&amp;$C33,'◆（運営）③結果入力'!$E$16:$K$345,7,FALSE)="","",VLOOKUP(L$6&amp;$C33,'◆（運営）③結果入力'!$E$16:$K$345,7,FALSE)),IF(VLOOKUP(L$6&amp;$C33,'◆（運営）③結果入力'!$D$16:$K$345,5,FALSE)="","",VLOOKUP(L$6&amp;$C33,'◆（運営）③結果入力'!$D$16:$K$345,5,FALSE)))</f>
      </c>
      <c r="AH33" s="337">
        <f>IF(ISERROR(VLOOKUP(M$6&amp;$C33,'◆（運営）③結果入力'!$D$16:$K$345,5,FALSE)),IF(VLOOKUP(M$6&amp;$C33,'◆（運営）③結果入力'!$E$16:$K$345,7,FALSE)="","",VLOOKUP(M$6&amp;$C33,'◆（運営）③結果入力'!$E$16:$K$345,7,FALSE)),IF(VLOOKUP(M$6&amp;$C33,'◆（運営）③結果入力'!$D$16:$K$345,5,FALSE)="","",VLOOKUP(M$6&amp;$C33,'◆（運営）③結果入力'!$D$16:$K$345,5,FALSE)))</f>
      </c>
      <c r="AI33" s="337">
        <f>IF(ISERROR(VLOOKUP(N$6&amp;$C33,'◆（運営）③結果入力'!$D$16:$K$345,5,FALSE)),IF(VLOOKUP(N$6&amp;$C33,'◆（運営）③結果入力'!$E$16:$K$345,7,FALSE)="","",VLOOKUP(N$6&amp;$C33,'◆（運営）③結果入力'!$E$16:$K$345,7,FALSE)),IF(VLOOKUP(N$6&amp;$C33,'◆（運営）③結果入力'!$D$16:$K$345,5,FALSE)="","",VLOOKUP(N$6&amp;$C33,'◆（運営）③結果入力'!$D$16:$K$345,5,FALSE)))</f>
      </c>
      <c r="AJ33" s="337">
        <f>IF(O32="","",IF(ISERROR(VLOOKUP(O$6&amp;$C33,'◆（運営）③結果入力'!$D$16:$K$345,5,FALSE)),IF(VLOOKUP(O$6&amp;$C33,'◆（運営）③結果入力'!$E$16:$K$345,7,FALSE)="","",VLOOKUP(O$6&amp;$C33,'◆（運営）③結果入力'!$E$16:$K$345,7,FALSE)),IF(VLOOKUP(O$6&amp;$C33,'◆（運営）③結果入力'!$D$16:$K$345,5,FALSE)="","",VLOOKUP(O$6&amp;$C33,'◆（運営）③結果入力'!$D$16:$K$345,5,FALSE))))</f>
      </c>
      <c r="AK33" s="337"/>
      <c r="AL33" s="338"/>
      <c r="AM33" s="339">
        <f aca="true" t="shared" si="41" ref="AM33:AM42">IF(COUNTBLANK(AA33:AL33)=12,"",IF(AO33&gt;0,"A120",IF(AP33&gt;0,"B120",MAX(AA33:AL33))))</f>
        <v>119</v>
      </c>
      <c r="AO33" s="335">
        <f aca="true" t="shared" si="42" ref="AO33:AO42">COUNTIF(AA33:AL33,"A120")</f>
        <v>0</v>
      </c>
      <c r="AP33" s="335">
        <f aca="true" t="shared" si="43" ref="AP33:AP42">COUNTIF(AA33:AL33,"B120")</f>
        <v>0</v>
      </c>
      <c r="AQ33" s="335">
        <f aca="true" t="shared" si="44" ref="AQ33:AQ42">SUM(AA33:AL33)</f>
        <v>119</v>
      </c>
      <c r="AR33" s="335">
        <f aca="true" t="shared" si="45" ref="AR33:AR42">AO33*1000000+AP33*10000+AQ33</f>
        <v>119</v>
      </c>
      <c r="AS33" s="335">
        <f aca="true" t="shared" si="46" ref="AS33:AS42">RANK(AR33,$AR$7:$AR$68,0)</f>
        <v>9</v>
      </c>
    </row>
    <row r="34" spans="1:45" ht="12" customHeight="1">
      <c r="A34" s="274">
        <v>2</v>
      </c>
      <c r="B34" s="315" t="str">
        <f t="shared" si="31"/>
        <v>愛知</v>
      </c>
      <c r="C34" s="316" t="str">
        <f>IF(B34="","",VLOOKUP(B34,'ブロック表'!$C$4:$N$15,7,FALSE))</f>
        <v>野田 絢也</v>
      </c>
      <c r="D34" s="317"/>
      <c r="E34" s="318"/>
      <c r="F34" s="319">
        <f>IF(ISERROR(VLOOKUP(F$6&amp;$C34,'◆（運営）③結果入力'!$D$16:$I$345,6,FALSE)),IF(VLOOKUP(F$6&amp;$C34,'◆（運営）③結果入力'!$E$16:$J$345,6,FALSE)="","",VLOOKUP(F$6&amp;$C34,'◆（運営）③結果入力'!$E$16:$J$345,6,FALSE)),IF(VLOOKUP(F$6&amp;$C34,'◆（運営）③結果入力'!$D$16:$I$345,6,FALSE)="","",VLOOKUP(F$6&amp;$C34,'◆（運営）③結果入力'!$D$16:$I$345,6,FALSE)))</f>
        <v>63</v>
      </c>
      <c r="G34" s="383"/>
      <c r="H34" s="320" t="str">
        <f>IF(ISERROR(VLOOKUP(H$6&amp;$C34,'◆（運営）③結果入力'!$D$16:$I$345,6,FALSE)),IF(VLOOKUP(H$6&amp;$C34,'◆（運営）③結果入力'!$E$16:$J$345,6,FALSE)="","",VLOOKUP(H$6&amp;$C34,'◆（運営）③結果入力'!$E$16:$J$345,6,FALSE)),IF(VLOOKUP(H$6&amp;$C34,'◆（運営）③結果入力'!$D$16:$I$345,6,FALSE)="","",VLOOKUP(H$6&amp;$C34,'◆（運営）③結果入力'!$D$16:$I$345,6,FALSE)))</f>
        <v>W</v>
      </c>
      <c r="I34" s="320">
        <f>IF(ISERROR(VLOOKUP(I$6&amp;$C34,'◆（運営）③結果入力'!$D$16:$I$345,6,FALSE)),IF(VLOOKUP(I$6&amp;$C34,'◆（運営）③結果入力'!$E$16:$J$345,6,FALSE)="","",VLOOKUP(I$6&amp;$C34,'◆（運営）③結果入力'!$E$16:$J$345,6,FALSE)),IF(VLOOKUP(I$6&amp;$C34,'◆（運営）③結果入力'!$D$16:$I$345,6,FALSE)="","",VLOOKUP(I$6&amp;$C34,'◆（運営）③結果入力'!$D$16:$I$345,6,FALSE)))</f>
        <v>16</v>
      </c>
      <c r="J34" s="320">
        <f>IF(ISERROR(VLOOKUP(J$6&amp;$C34,'◆（運営）③結果入力'!$D$16:$I$345,6,FALSE)),IF(VLOOKUP(J$6&amp;$C34,'◆（運営）③結果入力'!$E$16:$J$345,6,FALSE)="","",VLOOKUP(J$6&amp;$C34,'◆（運営）③結果入力'!$E$16:$J$345,6,FALSE)),IF(VLOOKUP(J$6&amp;$C34,'◆（運営）③結果入力'!$D$16:$I$345,6,FALSE)="","",VLOOKUP(J$6&amp;$C34,'◆（運営）③結果入力'!$D$16:$I$345,6,FALSE)))</f>
        <v>105</v>
      </c>
      <c r="K34" s="320" t="str">
        <f>IF(ISERROR(VLOOKUP(K$6&amp;$C34,'◆（運営）③結果入力'!$D$16:$I$345,6,FALSE)),IF(VLOOKUP(K$6&amp;$C34,'◆（運営）③結果入力'!$E$16:$J$345,6,FALSE)="","",VLOOKUP(K$6&amp;$C34,'◆（運営）③結果入力'!$E$16:$J$345,6,FALSE)),IF(VLOOKUP(K$6&amp;$C34,'◆（運営）③結果入力'!$D$16:$I$345,6,FALSE)="","",VLOOKUP(K$6&amp;$C34,'◆（運営）③結果入力'!$D$16:$I$345,6,FALSE)))</f>
        <v>W</v>
      </c>
      <c r="L34" s="320" t="str">
        <f>IF(ISERROR(VLOOKUP(L$6&amp;$C34,'◆（運営）③結果入力'!$D$16:$I$345,6,FALSE)),IF(VLOOKUP(L$6&amp;$C34,'◆（運営）③結果入力'!$E$16:$J$345,6,FALSE)="","",VLOOKUP(L$6&amp;$C34,'◆（運営）③結果入力'!$E$16:$J$345,6,FALSE)),IF(VLOOKUP(L$6&amp;$C34,'◆（運営）③結果入力'!$D$16:$I$345,6,FALSE)="","",VLOOKUP(L$6&amp;$C34,'◆（運営）③結果入力'!$D$16:$I$345,6,FALSE)))</f>
        <v>W</v>
      </c>
      <c r="M34" s="320" t="str">
        <f>IF(ISERROR(VLOOKUP(M$6&amp;$C34,'◆（運営）③結果入力'!$D$16:$I$345,6,FALSE)),IF(VLOOKUP(M$6&amp;$C34,'◆（運営）③結果入力'!$E$16:$J$345,6,FALSE)="","",VLOOKUP(M$6&amp;$C34,'◆（運営）③結果入力'!$E$16:$J$345,6,FALSE)),IF(VLOOKUP(M$6&amp;$C34,'◆（運営）③結果入力'!$D$16:$I$345,6,FALSE)="","",VLOOKUP(M$6&amp;$C34,'◆（運営）③結果入力'!$D$16:$I$345,6,FALSE)))</f>
        <v>W</v>
      </c>
      <c r="N34" s="320">
        <f>IF(ISERROR(VLOOKUP(N$6&amp;$C34,'◆（運営）③結果入力'!$D$16:$I$345,6,FALSE)),IF(VLOOKUP(N$6&amp;$C34,'◆（運営）③結果入力'!$E$16:$J$345,6,FALSE)="","",VLOOKUP(N$6&amp;$C34,'◆（運営）③結果入力'!$E$16:$J$345,6,FALSE)),IF(VLOOKUP(N$6&amp;$C34,'◆（運営）③結果入力'!$D$16:$I$345,6,FALSE)="","",VLOOKUP(N$6&amp;$C34,'◆（運営）③結果入力'!$D$16:$I$345,6,FALSE)))</f>
        <v>67</v>
      </c>
      <c r="O34" s="320" t="str">
        <f>IF(O32="","",IF(ISERROR(VLOOKUP(O$6&amp;$C34,'◆（運営）③結果入力'!$D$16:$I$345,6,FALSE)),IF(VLOOKUP(O$6&amp;$C34,'◆（運営）③結果入力'!$E$16:$J$345,6,FALSE)="","",VLOOKUP(O$6&amp;$C34,'◆（運営）③結果入力'!$E$16:$J$345,6,FALSE)),IF(VLOOKUP(O$6&amp;$C34,'◆（運営）③結果入力'!$D$16:$I$345,6,FALSE)="","",VLOOKUP(O$6&amp;$C34,'◆（運営）③結果入力'!$D$16:$I$345,6,FALSE))))</f>
        <v>W</v>
      </c>
      <c r="P34" s="340">
        <f t="shared" si="32"/>
        <v>5</v>
      </c>
      <c r="Q34" s="200">
        <f t="shared" si="33"/>
        <v>4</v>
      </c>
      <c r="R34" s="341">
        <f t="shared" si="34"/>
        <v>851</v>
      </c>
      <c r="S34" s="341">
        <f>IF(COUNTBLANK(F34:O34)=10,"",SUM(G33:G42)+(Q34*120))</f>
        <v>840</v>
      </c>
      <c r="T34" s="303">
        <f t="shared" si="35"/>
        <v>4</v>
      </c>
      <c r="U34" s="276">
        <f t="shared" si="36"/>
        <v>9</v>
      </c>
      <c r="V34" s="276">
        <f t="shared" si="37"/>
        <v>0</v>
      </c>
      <c r="W34" s="276">
        <f t="shared" si="38"/>
        <v>508509160</v>
      </c>
      <c r="X34" s="276">
        <f>IF(W34=0,"",IF(W34=MAX($W$8,$W$21,$W$34,$W$47,$W$60),1,""))</f>
      </c>
      <c r="Y34" s="276" t="str">
        <f t="shared" si="39"/>
        <v>愛知</v>
      </c>
      <c r="Z34" s="276" t="str">
        <f t="shared" si="40"/>
        <v>野田 絢也</v>
      </c>
      <c r="AA34" s="342">
        <f>IF(ISERROR(VLOOKUP(F$6&amp;$C34,'◆（運営）③結果入力'!$D$16:$K$345,5,FALSE)),IF(VLOOKUP(F$6&amp;$C34,'◆（運営）③結果入力'!$E$16:$K$345,7,FALSE)="","",VLOOKUP(F$6&amp;$C34,'◆（運営）③結果入力'!$E$16:$K$345,7,FALSE)),IF(VLOOKUP(F$6&amp;$C34,'◆（運営）③結果入力'!$D$16:$K$345,5,FALSE)="","",VLOOKUP(F$6&amp;$C34,'◆（運営）③結果入力'!$D$16:$K$345,5,FALSE)))</f>
      </c>
      <c r="AB34" s="386"/>
      <c r="AC34" s="343">
        <f>IF(ISERROR(VLOOKUP(H$6&amp;$C34,'◆（運営）③結果入力'!$D$16:$K$345,5,FALSE)),IF(VLOOKUP(H$6&amp;$C34,'◆（運営）③結果入力'!$E$16:$K$345,7,FALSE)="","",VLOOKUP(H$6&amp;$C34,'◆（運営）③結果入力'!$E$16:$K$345,7,FALSE)),IF(VLOOKUP(H$6&amp;$C34,'◆（運営）③結果入力'!$D$16:$K$345,5,FALSE)="","",VLOOKUP(H$6&amp;$C34,'◆（運営）③結果入力'!$D$16:$K$345,5,FALSE)))</f>
      </c>
      <c r="AD34" s="343">
        <f>IF(ISERROR(VLOOKUP(I$6&amp;$C34,'◆（運営）③結果入力'!$D$16:$K$345,5,FALSE)),IF(VLOOKUP(I$6&amp;$C34,'◆（運営）③結果入力'!$E$16:$K$345,7,FALSE)="","",VLOOKUP(I$6&amp;$C34,'◆（運営）③結果入力'!$E$16:$K$345,7,FALSE)),IF(VLOOKUP(I$6&amp;$C34,'◆（運営）③結果入力'!$D$16:$K$345,5,FALSE)="","",VLOOKUP(I$6&amp;$C34,'◆（運営）③結果入力'!$D$16:$K$345,5,FALSE)))</f>
      </c>
      <c r="AE34" s="343">
        <f>IF(ISERROR(VLOOKUP(J$6&amp;$C34,'◆（運営）③結果入力'!$D$16:$K$345,5,FALSE)),IF(VLOOKUP(J$6&amp;$C34,'◆（運営）③結果入力'!$E$16:$K$345,7,FALSE)="","",VLOOKUP(J$6&amp;$C34,'◆（運営）③結果入力'!$E$16:$K$345,7,FALSE)),IF(VLOOKUP(J$6&amp;$C34,'◆（運営）③結果入力'!$D$16:$K$345,5,FALSE)="","",VLOOKUP(J$6&amp;$C34,'◆（運営）③結果入力'!$D$16:$K$345,5,FALSE)))</f>
      </c>
      <c r="AF34" s="343">
        <f>IF(ISERROR(VLOOKUP(K$6&amp;$C34,'◆（運営）③結果入力'!$D$16:$K$345,5,FALSE)),IF(VLOOKUP(K$6&amp;$C34,'◆（運営）③結果入力'!$E$16:$K$345,7,FALSE)="","",VLOOKUP(K$6&amp;$C34,'◆（運営）③結果入力'!$E$16:$K$345,7,FALSE)),IF(VLOOKUP(K$6&amp;$C34,'◆（運営）③結果入力'!$D$16:$K$345,5,FALSE)="","",VLOOKUP(K$6&amp;$C34,'◆（運営）③結果入力'!$D$16:$K$345,5,FALSE)))</f>
      </c>
      <c r="AG34" s="343">
        <f>IF(ISERROR(VLOOKUP(L$6&amp;$C34,'◆（運営）③結果入力'!$D$16:$K$345,5,FALSE)),IF(VLOOKUP(L$6&amp;$C34,'◆（運営）③結果入力'!$E$16:$K$345,7,FALSE)="","",VLOOKUP(L$6&amp;$C34,'◆（運営）③結果入力'!$E$16:$K$345,7,FALSE)),IF(VLOOKUP(L$6&amp;$C34,'◆（運営）③結果入力'!$D$16:$K$345,5,FALSE)="","",VLOOKUP(L$6&amp;$C34,'◆（運営）③結果入力'!$D$16:$K$345,5,FALSE)))</f>
      </c>
      <c r="AH34" s="343">
        <f>IF(ISERROR(VLOOKUP(M$6&amp;$C34,'◆（運営）③結果入力'!$D$16:$K$345,5,FALSE)),IF(VLOOKUP(M$6&amp;$C34,'◆（運営）③結果入力'!$E$16:$K$345,7,FALSE)="","",VLOOKUP(M$6&amp;$C34,'◆（運営）③結果入力'!$E$16:$K$345,7,FALSE)),IF(VLOOKUP(M$6&amp;$C34,'◆（運営）③結果入力'!$D$16:$K$345,5,FALSE)="","",VLOOKUP(M$6&amp;$C34,'◆（運営）③結果入力'!$D$16:$K$345,5,FALSE)))</f>
      </c>
      <c r="AI34" s="343">
        <f>IF(ISERROR(VLOOKUP(N$6&amp;$C34,'◆（運営）③結果入力'!$D$16:$K$345,5,FALSE)),IF(VLOOKUP(N$6&amp;$C34,'◆（運営）③結果入力'!$E$16:$K$345,7,FALSE)="","",VLOOKUP(N$6&amp;$C34,'◆（運営）③結果入力'!$E$16:$K$345,7,FALSE)),IF(VLOOKUP(N$6&amp;$C34,'◆（運営）③結果入力'!$D$16:$K$345,5,FALSE)="","",VLOOKUP(N$6&amp;$C34,'◆（運営）③結果入力'!$D$16:$K$345,5,FALSE)))</f>
      </c>
      <c r="AJ34" s="343">
        <f>IF(O32="","",IF(ISERROR(VLOOKUP(O$6&amp;$C34,'◆（運営）③結果入力'!$D$16:$K$345,5,FALSE)),IF(VLOOKUP(O$6&amp;$C34,'◆（運営）③結果入力'!$E$16:$K$345,7,FALSE)="","",VLOOKUP(O$6&amp;$C34,'◆（運営）③結果入力'!$E$16:$K$345,7,FALSE)),IF(VLOOKUP(O$6&amp;$C34,'◆（運営）③結果入力'!$D$16:$K$345,5,FALSE)="","",VLOOKUP(O$6&amp;$C34,'◆（運営）③結果入力'!$D$16:$K$345,5,FALSE))))</f>
      </c>
      <c r="AK34" s="343"/>
      <c r="AL34" s="344"/>
      <c r="AM34" s="345">
        <f t="shared" si="41"/>
      </c>
      <c r="AO34" s="335">
        <f t="shared" si="42"/>
        <v>0</v>
      </c>
      <c r="AP34" s="335">
        <f t="shared" si="43"/>
        <v>0</v>
      </c>
      <c r="AQ34" s="335">
        <f t="shared" si="44"/>
        <v>0</v>
      </c>
      <c r="AR34" s="335">
        <f t="shared" si="45"/>
        <v>0</v>
      </c>
      <c r="AS34" s="335">
        <f t="shared" si="46"/>
        <v>17</v>
      </c>
    </row>
    <row r="35" spans="1:45" ht="12" customHeight="1">
      <c r="A35" s="274">
        <v>3</v>
      </c>
      <c r="B35" s="315" t="str">
        <f t="shared" si="31"/>
        <v>京都</v>
      </c>
      <c r="C35" s="316" t="str">
        <f>IF(B35="","",VLOOKUP(B35,'ブロック表'!$C$4:$N$15,7,FALSE))</f>
        <v>佐藤 雄吾</v>
      </c>
      <c r="D35" s="317"/>
      <c r="E35" s="318"/>
      <c r="F35" s="319" t="str">
        <f>IF(ISERROR(VLOOKUP(F$6&amp;$C35,'◆（運営）③結果入力'!$D$16:$I$345,6,FALSE)),IF(VLOOKUP(F$6&amp;$C35,'◆（運営）③結果入力'!$E$16:$J$345,6,FALSE)="","",VLOOKUP(F$6&amp;$C35,'◆（運営）③結果入力'!$E$16:$J$345,6,FALSE)),IF(VLOOKUP(F$6&amp;$C35,'◆（運営）③結果入力'!$D$16:$I$345,6,FALSE)="","",VLOOKUP(F$6&amp;$C35,'◆（運営）③結果入力'!$D$16:$I$345,6,FALSE)))</f>
        <v>W</v>
      </c>
      <c r="G35" s="320">
        <f>IF(ISERROR(VLOOKUP(G$6&amp;$C35,'◆（運営）③結果入力'!$D$16:$I$345,6,FALSE)),IF(VLOOKUP(G$6&amp;$C35,'◆（運営）③結果入力'!$E$16:$J$345,6,FALSE)="","",VLOOKUP(G$6&amp;$C35,'◆（運営）③結果入力'!$E$16:$J$345,6,FALSE)),IF(VLOOKUP(G$6&amp;$C35,'◆（運営）③結果入力'!$D$16:$I$345,6,FALSE)="","",VLOOKUP(G$6&amp;$C35,'◆（運営）③結果入力'!$D$16:$I$345,6,FALSE)))</f>
        <v>105</v>
      </c>
      <c r="H35" s="383"/>
      <c r="I35" s="320" t="str">
        <f>IF(ISERROR(VLOOKUP(I$6&amp;$C35,'◆（運営）③結果入力'!$D$16:$I$345,6,FALSE)),IF(VLOOKUP(I$6&amp;$C35,'◆（運営）③結果入力'!$E$16:$J$345,6,FALSE)="","",VLOOKUP(I$6&amp;$C35,'◆（運営）③結果入力'!$E$16:$J$345,6,FALSE)),IF(VLOOKUP(I$6&amp;$C35,'◆（運営）③結果入力'!$D$16:$I$345,6,FALSE)="","",VLOOKUP(I$6&amp;$C35,'◆（運営）③結果入力'!$D$16:$I$345,6,FALSE)))</f>
        <v>W</v>
      </c>
      <c r="J35" s="320" t="str">
        <f>IF(ISERROR(VLOOKUP(J$6&amp;$C35,'◆（運営）③結果入力'!$D$16:$I$345,6,FALSE)),IF(VLOOKUP(J$6&amp;$C35,'◆（運営）③結果入力'!$E$16:$J$345,6,FALSE)="","",VLOOKUP(J$6&amp;$C35,'◆（運営）③結果入力'!$E$16:$J$345,6,FALSE)),IF(VLOOKUP(J$6&amp;$C35,'◆（運営）③結果入力'!$D$16:$I$345,6,FALSE)="","",VLOOKUP(J$6&amp;$C35,'◆（運営）③結果入力'!$D$16:$I$345,6,FALSE)))</f>
        <v>W</v>
      </c>
      <c r="K35" s="320" t="str">
        <f>IF(ISERROR(VLOOKUP(K$6&amp;$C35,'◆（運営）③結果入力'!$D$16:$I$345,6,FALSE)),IF(VLOOKUP(K$6&amp;$C35,'◆（運営）③結果入力'!$E$16:$J$345,6,FALSE)="","",VLOOKUP(K$6&amp;$C35,'◆（運営）③結果入力'!$E$16:$J$345,6,FALSE)),IF(VLOOKUP(K$6&amp;$C35,'◆（運営）③結果入力'!$D$16:$I$345,6,FALSE)="","",VLOOKUP(K$6&amp;$C35,'◆（運営）③結果入力'!$D$16:$I$345,6,FALSE)))</f>
        <v>W</v>
      </c>
      <c r="L35" s="320" t="str">
        <f>IF(ISERROR(VLOOKUP(L$6&amp;$C35,'◆（運営）③結果入力'!$D$16:$I$345,6,FALSE)),IF(VLOOKUP(L$6&amp;$C35,'◆（運営）③結果入力'!$E$16:$J$345,6,FALSE)="","",VLOOKUP(L$6&amp;$C35,'◆（運営）③結果入力'!$E$16:$J$345,6,FALSE)),IF(VLOOKUP(L$6&amp;$C35,'◆（運営）③結果入力'!$D$16:$I$345,6,FALSE)="","",VLOOKUP(L$6&amp;$C35,'◆（運営）③結果入力'!$D$16:$I$345,6,FALSE)))</f>
        <v>W</v>
      </c>
      <c r="M35" s="320" t="str">
        <f>IF(ISERROR(VLOOKUP(M$6&amp;$C35,'◆（運営）③結果入力'!$D$16:$I$345,6,FALSE)),IF(VLOOKUP(M$6&amp;$C35,'◆（運営）③結果入力'!$E$16:$J$345,6,FALSE)="","",VLOOKUP(M$6&amp;$C35,'◆（運営）③結果入力'!$E$16:$J$345,6,FALSE)),IF(VLOOKUP(M$6&amp;$C35,'◆（運営）③結果入力'!$D$16:$I$345,6,FALSE)="","",VLOOKUP(M$6&amp;$C35,'◆（運営）③結果入力'!$D$16:$I$345,6,FALSE)))</f>
        <v>W</v>
      </c>
      <c r="N35" s="320" t="str">
        <f>IF(ISERROR(VLOOKUP(N$6&amp;$C35,'◆（運営）③結果入力'!$D$16:$I$345,6,FALSE)),IF(VLOOKUP(N$6&amp;$C35,'◆（運営）③結果入力'!$E$16:$J$345,6,FALSE)="","",VLOOKUP(N$6&amp;$C35,'◆（運営）③結果入力'!$E$16:$J$345,6,FALSE)),IF(VLOOKUP(N$6&amp;$C35,'◆（運営）③結果入力'!$D$16:$I$345,6,FALSE)="","",VLOOKUP(N$6&amp;$C35,'◆（運営）③結果入力'!$D$16:$I$345,6,FALSE)))</f>
        <v>W</v>
      </c>
      <c r="O35" s="320">
        <f>IF(O32="","",IF(ISERROR(VLOOKUP(O$6&amp;$C35,'◆（運営）③結果入力'!$D$16:$I$345,6,FALSE)),IF(VLOOKUP(O$6&amp;$C35,'◆（運営）③結果入力'!$E$16:$J$345,6,FALSE)="","",VLOOKUP(O$6&amp;$C35,'◆（運営）③結果入力'!$E$16:$J$345,6,FALSE)),IF(VLOOKUP(O$6&amp;$C35,'◆（運営）③結果入力'!$D$16:$I$345,6,FALSE)="","",VLOOKUP(O$6&amp;$C35,'◆（運営）③結果入力'!$D$16:$I$345,6,FALSE))))</f>
        <v>38</v>
      </c>
      <c r="P35" s="340">
        <f t="shared" si="32"/>
        <v>7</v>
      </c>
      <c r="Q35" s="200">
        <f t="shared" si="33"/>
        <v>2</v>
      </c>
      <c r="R35" s="341">
        <f t="shared" si="34"/>
        <v>983</v>
      </c>
      <c r="S35" s="341">
        <f>IF(COUNTBLANK(F35:O35)=10,"",SUM(H33:H42)+(Q35*120))</f>
        <v>664</v>
      </c>
      <c r="T35" s="303">
        <f t="shared" si="35"/>
        <v>1</v>
      </c>
      <c r="U35" s="276">
        <f t="shared" si="36"/>
        <v>9</v>
      </c>
      <c r="V35" s="276">
        <f t="shared" si="37"/>
        <v>0</v>
      </c>
      <c r="W35" s="276">
        <f t="shared" si="38"/>
        <v>709829336</v>
      </c>
      <c r="X35" s="276">
        <f>IF(W35=0,"",IF(W35=MAX($W$9,$W$22,$W$35,$W$48,$W$61),1,""))</f>
      </c>
      <c r="Y35" s="276" t="str">
        <f t="shared" si="39"/>
        <v>京都</v>
      </c>
      <c r="Z35" s="276" t="str">
        <f t="shared" si="40"/>
        <v>佐藤 雄吾</v>
      </c>
      <c r="AA35" s="342">
        <f>IF(ISERROR(VLOOKUP(F$6&amp;$C35,'◆（運営）③結果入力'!$D$16:$K$345,5,FALSE)),IF(VLOOKUP(F$6&amp;$C35,'◆（運営）③結果入力'!$E$16:$K$345,7,FALSE)="","",VLOOKUP(F$6&amp;$C35,'◆（運営）③結果入力'!$E$16:$K$345,7,FALSE)),IF(VLOOKUP(F$6&amp;$C35,'◆（運営）③結果入力'!$D$16:$K$345,5,FALSE)="","",VLOOKUP(F$6&amp;$C35,'◆（運営）③結果入力'!$D$16:$K$345,5,FALSE)))</f>
      </c>
      <c r="AB35" s="343">
        <f>IF(ISERROR(VLOOKUP(G$6&amp;$C35,'◆（運営）③結果入力'!$D$16:$K$345,5,FALSE)),IF(VLOOKUP(G$6&amp;$C35,'◆（運営）③結果入力'!$E$16:$K$345,7,FALSE)="","",VLOOKUP(G$6&amp;$C35,'◆（運営）③結果入力'!$E$16:$K$345,7,FALSE)),IF(VLOOKUP(G$6&amp;$C35,'◆（運営）③結果入力'!$D$16:$K$345,5,FALSE)="","",VLOOKUP(G$6&amp;$C35,'◆（運営）③結果入力'!$D$16:$K$345,5,FALSE)))</f>
      </c>
      <c r="AC35" s="386"/>
      <c r="AD35" s="343">
        <f>IF(ISERROR(VLOOKUP(I$6&amp;$C35,'◆（運営）③結果入力'!$D$16:$K$345,5,FALSE)),IF(VLOOKUP(I$6&amp;$C35,'◆（運営）③結果入力'!$E$16:$K$345,7,FALSE)="","",VLOOKUP(I$6&amp;$C35,'◆（運営）③結果入力'!$E$16:$K$345,7,FALSE)),IF(VLOOKUP(I$6&amp;$C35,'◆（運営）③結果入力'!$D$16:$K$345,5,FALSE)="","",VLOOKUP(I$6&amp;$C35,'◆（運営）③結果入力'!$D$16:$K$345,5,FALSE)))</f>
      </c>
      <c r="AE35" s="343">
        <f>IF(ISERROR(VLOOKUP(J$6&amp;$C35,'◆（運営）③結果入力'!$D$16:$K$345,5,FALSE)),IF(VLOOKUP(J$6&amp;$C35,'◆（運営）③結果入力'!$E$16:$K$345,7,FALSE)="","",VLOOKUP(J$6&amp;$C35,'◆（運営）③結果入力'!$E$16:$K$345,7,FALSE)),IF(VLOOKUP(J$6&amp;$C35,'◆（運営）③結果入力'!$D$16:$K$345,5,FALSE)="","",VLOOKUP(J$6&amp;$C35,'◆（運営）③結果入力'!$D$16:$K$345,5,FALSE)))</f>
      </c>
      <c r="AF35" s="343">
        <f>IF(ISERROR(VLOOKUP(K$6&amp;$C35,'◆（運営）③結果入力'!$D$16:$K$345,5,FALSE)),IF(VLOOKUP(K$6&amp;$C35,'◆（運営）③結果入力'!$E$16:$K$345,7,FALSE)="","",VLOOKUP(K$6&amp;$C35,'◆（運営）③結果入力'!$E$16:$K$345,7,FALSE)),IF(VLOOKUP(K$6&amp;$C35,'◆（運営）③結果入力'!$D$16:$K$345,5,FALSE)="","",VLOOKUP(K$6&amp;$C35,'◆（運営）③結果入力'!$D$16:$K$345,5,FALSE)))</f>
      </c>
      <c r="AG35" s="343">
        <f>IF(ISERROR(VLOOKUP(L$6&amp;$C35,'◆（運営）③結果入力'!$D$16:$K$345,5,FALSE)),IF(VLOOKUP(L$6&amp;$C35,'◆（運営）③結果入力'!$E$16:$K$345,7,FALSE)="","",VLOOKUP(L$6&amp;$C35,'◆（運営）③結果入力'!$E$16:$K$345,7,FALSE)),IF(VLOOKUP(L$6&amp;$C35,'◆（運営）③結果入力'!$D$16:$K$345,5,FALSE)="","",VLOOKUP(L$6&amp;$C35,'◆（運営）③結果入力'!$D$16:$K$345,5,FALSE)))</f>
      </c>
      <c r="AH35" s="343">
        <f>IF(ISERROR(VLOOKUP(M$6&amp;$C35,'◆（運営）③結果入力'!$D$16:$K$345,5,FALSE)),IF(VLOOKUP(M$6&amp;$C35,'◆（運営）③結果入力'!$E$16:$K$345,7,FALSE)="","",VLOOKUP(M$6&amp;$C35,'◆（運営）③結果入力'!$E$16:$K$345,7,FALSE)),IF(VLOOKUP(M$6&amp;$C35,'◆（運営）③結果入力'!$D$16:$K$345,5,FALSE)="","",VLOOKUP(M$6&amp;$C35,'◆（運営）③結果入力'!$D$16:$K$345,5,FALSE)))</f>
      </c>
      <c r="AI35" s="343">
        <f>IF(ISERROR(VLOOKUP(N$6&amp;$C35,'◆（運営）③結果入力'!$D$16:$K$345,5,FALSE)),IF(VLOOKUP(N$6&amp;$C35,'◆（運営）③結果入力'!$E$16:$K$345,7,FALSE)="","",VLOOKUP(N$6&amp;$C35,'◆（運営）③結果入力'!$E$16:$K$345,7,FALSE)),IF(VLOOKUP(N$6&amp;$C35,'◆（運営）③結果入力'!$D$16:$K$345,5,FALSE)="","",VLOOKUP(N$6&amp;$C35,'◆（運営）③結果入力'!$D$16:$K$345,5,FALSE)))</f>
      </c>
      <c r="AJ35" s="343">
        <f>IF(O32="","",IF(ISERROR(VLOOKUP(O$6&amp;$C35,'◆（運営）③結果入力'!$D$16:$K$345,5,FALSE)),IF(VLOOKUP(O$6&amp;$C35,'◆（運営）③結果入力'!$E$16:$K$345,7,FALSE)="","",VLOOKUP(O$6&amp;$C35,'◆（運営）③結果入力'!$E$16:$K$345,7,FALSE)),IF(VLOOKUP(O$6&amp;$C35,'◆（運営）③結果入力'!$D$16:$K$345,5,FALSE)="","",VLOOKUP(O$6&amp;$C35,'◆（運営）③結果入力'!$D$16:$K$345,5,FALSE))))</f>
      </c>
      <c r="AK35" s="343"/>
      <c r="AL35" s="344"/>
      <c r="AM35" s="345">
        <f t="shared" si="41"/>
      </c>
      <c r="AO35" s="335">
        <f t="shared" si="42"/>
        <v>0</v>
      </c>
      <c r="AP35" s="335">
        <f t="shared" si="43"/>
        <v>0</v>
      </c>
      <c r="AQ35" s="335">
        <f t="shared" si="44"/>
        <v>0</v>
      </c>
      <c r="AR35" s="335">
        <f t="shared" si="45"/>
        <v>0</v>
      </c>
      <c r="AS35" s="335">
        <f t="shared" si="46"/>
        <v>17</v>
      </c>
    </row>
    <row r="36" spans="1:45" ht="12" customHeight="1">
      <c r="A36" s="274">
        <v>4</v>
      </c>
      <c r="B36" s="315" t="str">
        <f t="shared" si="31"/>
        <v>大阪A</v>
      </c>
      <c r="C36" s="316" t="str">
        <f>IF(B36="","",VLOOKUP(B36,'ブロック表'!$C$4:$N$15,7,FALSE))</f>
        <v>吉岡 保俊</v>
      </c>
      <c r="D36" s="317"/>
      <c r="E36" s="318"/>
      <c r="F36" s="319">
        <f>IF(ISERROR(VLOOKUP(F$6&amp;$C36,'◆（運営）③結果入力'!$D$16:$I$345,6,FALSE)),IF(VLOOKUP(F$6&amp;$C36,'◆（運営）③結果入力'!$E$16:$J$345,6,FALSE)="","",VLOOKUP(F$6&amp;$C36,'◆（運営）③結果入力'!$E$16:$J$345,6,FALSE)),IF(VLOOKUP(F$6&amp;$C36,'◆（運営）③結果入力'!$D$16:$I$345,6,FALSE)="","",VLOOKUP(F$6&amp;$C36,'◆（運営）③結果入力'!$D$16:$I$345,6,FALSE)))</f>
        <v>1</v>
      </c>
      <c r="G36" s="320" t="str">
        <f>IF(ISERROR(VLOOKUP(G$6&amp;$C36,'◆（運営）③結果入力'!$D$16:$I$345,6,FALSE)),IF(VLOOKUP(G$6&amp;$C36,'◆（運営）③結果入力'!$E$16:$J$345,6,FALSE)="","",VLOOKUP(G$6&amp;$C36,'◆（運営）③結果入力'!$E$16:$J$345,6,FALSE)),IF(VLOOKUP(G$6&amp;$C36,'◆（運営）③結果入力'!$D$16:$I$345,6,FALSE)="","",VLOOKUP(G$6&amp;$C36,'◆（運営）③結果入力'!$D$16:$I$345,6,FALSE)))</f>
        <v>W</v>
      </c>
      <c r="H36" s="320">
        <f>IF(ISERROR(VLOOKUP(H$6&amp;$C36,'◆（運営）③結果入力'!$D$16:$I$345,6,FALSE)),IF(VLOOKUP(H$6&amp;$C36,'◆（運営）③結果入力'!$E$16:$J$345,6,FALSE)="","",VLOOKUP(H$6&amp;$C36,'◆（運営）③結果入力'!$E$16:$J$345,6,FALSE)),IF(VLOOKUP(H$6&amp;$C36,'◆（運営）③結果入力'!$D$16:$I$345,6,FALSE)="","",VLOOKUP(H$6&amp;$C36,'◆（運営）③結果入力'!$D$16:$I$345,6,FALSE)))</f>
        <v>95</v>
      </c>
      <c r="I36" s="383"/>
      <c r="J36" s="320" t="str">
        <f>IF(ISERROR(VLOOKUP(J$6&amp;$C36,'◆（運営）③結果入力'!$D$16:$I$345,6,FALSE)),IF(VLOOKUP(J$6&amp;$C36,'◆（運営）③結果入力'!$E$16:$J$345,6,FALSE)="","",VLOOKUP(J$6&amp;$C36,'◆（運営）③結果入力'!$E$16:$J$345,6,FALSE)),IF(VLOOKUP(J$6&amp;$C36,'◆（運営）③結果入力'!$D$16:$I$345,6,FALSE)="","",VLOOKUP(J$6&amp;$C36,'◆（運営）③結果入力'!$D$16:$I$345,6,FALSE)))</f>
        <v>W</v>
      </c>
      <c r="K36" s="320" t="str">
        <f>IF(ISERROR(VLOOKUP(K$6&amp;$C36,'◆（運営）③結果入力'!$D$16:$I$345,6,FALSE)),IF(VLOOKUP(K$6&amp;$C36,'◆（運営）③結果入力'!$E$16:$J$345,6,FALSE)="","",VLOOKUP(K$6&amp;$C36,'◆（運営）③結果入力'!$E$16:$J$345,6,FALSE)),IF(VLOOKUP(K$6&amp;$C36,'◆（運営）③結果入力'!$D$16:$I$345,6,FALSE)="","",VLOOKUP(K$6&amp;$C36,'◆（運営）③結果入力'!$D$16:$I$345,6,FALSE)))</f>
        <v>W</v>
      </c>
      <c r="L36" s="320" t="str">
        <f>IF(ISERROR(VLOOKUP(L$6&amp;$C36,'◆（運営）③結果入力'!$D$16:$I$345,6,FALSE)),IF(VLOOKUP(L$6&amp;$C36,'◆（運営）③結果入力'!$E$16:$J$345,6,FALSE)="","",VLOOKUP(L$6&amp;$C36,'◆（運営）③結果入力'!$E$16:$J$345,6,FALSE)),IF(VLOOKUP(L$6&amp;$C36,'◆（運営）③結果入力'!$D$16:$I$345,6,FALSE)="","",VLOOKUP(L$6&amp;$C36,'◆（運営）③結果入力'!$D$16:$I$345,6,FALSE)))</f>
        <v>W</v>
      </c>
      <c r="M36" s="320">
        <f>IF(ISERROR(VLOOKUP(M$6&amp;$C36,'◆（運営）③結果入力'!$D$16:$I$345,6,FALSE)),IF(VLOOKUP(M$6&amp;$C36,'◆（運営）③結果入力'!$E$16:$J$345,6,FALSE)="","",VLOOKUP(M$6&amp;$C36,'◆（運営）③結果入力'!$E$16:$J$345,6,FALSE)),IF(VLOOKUP(M$6&amp;$C36,'◆（運営）③結果入力'!$D$16:$I$345,6,FALSE)="","",VLOOKUP(M$6&amp;$C36,'◆（運営）③結果入力'!$D$16:$I$345,6,FALSE)))</f>
        <v>83</v>
      </c>
      <c r="N36" s="320" t="str">
        <f>IF(ISERROR(VLOOKUP(N$6&amp;$C36,'◆（運営）③結果入力'!$D$16:$I$345,6,FALSE)),IF(VLOOKUP(N$6&amp;$C36,'◆（運営）③結果入力'!$E$16:$J$345,6,FALSE)="","",VLOOKUP(N$6&amp;$C36,'◆（運営）③結果入力'!$E$16:$J$345,6,FALSE)),IF(VLOOKUP(N$6&amp;$C36,'◆（運営）③結果入力'!$D$16:$I$345,6,FALSE)="","",VLOOKUP(N$6&amp;$C36,'◆（運営）③結果入力'!$D$16:$I$345,6,FALSE)))</f>
        <v>W</v>
      </c>
      <c r="O36" s="320" t="str">
        <f>IF(O32="","",IF(ISERROR(VLOOKUP(O$6&amp;$C36,'◆（運営）③結果入力'!$D$16:$I$345,6,FALSE)),IF(VLOOKUP(O$6&amp;$C36,'◆（運営）③結果入力'!$E$16:$J$345,6,FALSE)="","",VLOOKUP(O$6&amp;$C36,'◆（運営）③結果入力'!$E$16:$J$345,6,FALSE)),IF(VLOOKUP(O$6&amp;$C36,'◆（運営）③結果入力'!$D$16:$I$345,6,FALSE)="","",VLOOKUP(O$6&amp;$C36,'◆（運営）③結果入力'!$D$16:$I$345,6,FALSE))))</f>
        <v>W</v>
      </c>
      <c r="P36" s="340">
        <f t="shared" si="32"/>
        <v>6</v>
      </c>
      <c r="Q36" s="200">
        <f t="shared" si="33"/>
        <v>3</v>
      </c>
      <c r="R36" s="341">
        <f t="shared" si="34"/>
        <v>899</v>
      </c>
      <c r="S36" s="341">
        <f>IF(COUNTBLANK(F36:O36)=10,"",SUM(I33:I42)+(Q36*120))</f>
        <v>492</v>
      </c>
      <c r="T36" s="303">
        <f t="shared" si="35"/>
        <v>2</v>
      </c>
      <c r="U36" s="276">
        <f t="shared" si="36"/>
        <v>9</v>
      </c>
      <c r="V36" s="276">
        <f t="shared" si="37"/>
        <v>0</v>
      </c>
      <c r="W36" s="276">
        <f t="shared" si="38"/>
        <v>608989508</v>
      </c>
      <c r="X36" s="276">
        <f>IF(W36=0,"",IF(W36=MAX($W$10,$W$23,$W$36,$W$49,$W$62),1,""))</f>
      </c>
      <c r="Y36" s="276" t="str">
        <f t="shared" si="39"/>
        <v>大阪A</v>
      </c>
      <c r="Z36" s="276" t="str">
        <f t="shared" si="40"/>
        <v>吉岡 保俊</v>
      </c>
      <c r="AA36" s="342">
        <f>IF(ISERROR(VLOOKUP(F$6&amp;$C36,'◆（運営）③結果入力'!$D$16:$K$345,5,FALSE)),IF(VLOOKUP(F$6&amp;$C36,'◆（運営）③結果入力'!$E$16:$K$345,7,FALSE)="","",VLOOKUP(F$6&amp;$C36,'◆（運営）③結果入力'!$E$16:$K$345,7,FALSE)),IF(VLOOKUP(F$6&amp;$C36,'◆（運営）③結果入力'!$D$16:$K$345,5,FALSE)="","",VLOOKUP(F$6&amp;$C36,'◆（運営）③結果入力'!$D$16:$K$345,5,FALSE)))</f>
      </c>
      <c r="AB36" s="343">
        <f>IF(ISERROR(VLOOKUP(G$6&amp;$C36,'◆（運営）③結果入力'!$D$16:$K$345,5,FALSE)),IF(VLOOKUP(G$6&amp;$C36,'◆（運営）③結果入力'!$E$16:$K$345,7,FALSE)="","",VLOOKUP(G$6&amp;$C36,'◆（運営）③結果入力'!$E$16:$K$345,7,FALSE)),IF(VLOOKUP(G$6&amp;$C36,'◆（運営）③結果入力'!$D$16:$K$345,5,FALSE)="","",VLOOKUP(G$6&amp;$C36,'◆（運営）③結果入力'!$D$16:$K$345,5,FALSE)))</f>
      </c>
      <c r="AC36" s="343">
        <f>IF(ISERROR(VLOOKUP(H$6&amp;$C36,'◆（運営）③結果入力'!$D$16:$K$345,5,FALSE)),IF(VLOOKUP(H$6&amp;$C36,'◆（運営）③結果入力'!$E$16:$K$345,7,FALSE)="","",VLOOKUP(H$6&amp;$C36,'◆（運営）③結果入力'!$E$16:$K$345,7,FALSE)),IF(VLOOKUP(H$6&amp;$C36,'◆（運営）③結果入力'!$D$16:$K$345,5,FALSE)="","",VLOOKUP(H$6&amp;$C36,'◆（運営）③結果入力'!$D$16:$K$345,5,FALSE)))</f>
      </c>
      <c r="AD36" s="386"/>
      <c r="AE36" s="343">
        <f>IF(ISERROR(VLOOKUP(J$6&amp;$C36,'◆（運営）③結果入力'!$D$16:$K$345,5,FALSE)),IF(VLOOKUP(J$6&amp;$C36,'◆（運営）③結果入力'!$E$16:$K$345,7,FALSE)="","",VLOOKUP(J$6&amp;$C36,'◆（運営）③結果入力'!$E$16:$K$345,7,FALSE)),IF(VLOOKUP(J$6&amp;$C36,'◆（運営）③結果入力'!$D$16:$K$345,5,FALSE)="","",VLOOKUP(J$6&amp;$C36,'◆（運営）③結果入力'!$D$16:$K$345,5,FALSE)))</f>
        <v>118</v>
      </c>
      <c r="AF36" s="343">
        <f>IF(ISERROR(VLOOKUP(K$6&amp;$C36,'◆（運営）③結果入力'!$D$16:$K$345,5,FALSE)),IF(VLOOKUP(K$6&amp;$C36,'◆（運営）③結果入力'!$E$16:$K$345,7,FALSE)="","",VLOOKUP(K$6&amp;$C36,'◆（運営）③結果入力'!$E$16:$K$345,7,FALSE)),IF(VLOOKUP(K$6&amp;$C36,'◆（運営）③結果入力'!$D$16:$K$345,5,FALSE)="","",VLOOKUP(K$6&amp;$C36,'◆（運営）③結果入力'!$D$16:$K$345,5,FALSE)))</f>
        <v>119</v>
      </c>
      <c r="AG36" s="343">
        <f>IF(ISERROR(VLOOKUP(L$6&amp;$C36,'◆（運営）③結果入力'!$D$16:$K$345,5,FALSE)),IF(VLOOKUP(L$6&amp;$C36,'◆（運営）③結果入力'!$E$16:$K$345,7,FALSE)="","",VLOOKUP(L$6&amp;$C36,'◆（運営）③結果入力'!$E$16:$K$345,7,FALSE)),IF(VLOOKUP(L$6&amp;$C36,'◆（運営）③結果入力'!$D$16:$K$345,5,FALSE)="","",VLOOKUP(L$6&amp;$C36,'◆（運営）③結果入力'!$D$16:$K$345,5,FALSE)))</f>
      </c>
      <c r="AH36" s="343">
        <f>IF(ISERROR(VLOOKUP(M$6&amp;$C36,'◆（運営）③結果入力'!$D$16:$K$345,5,FALSE)),IF(VLOOKUP(M$6&amp;$C36,'◆（運営）③結果入力'!$E$16:$K$345,7,FALSE)="","",VLOOKUP(M$6&amp;$C36,'◆（運営）③結果入力'!$E$16:$K$345,7,FALSE)),IF(VLOOKUP(M$6&amp;$C36,'◆（運営）③結果入力'!$D$16:$K$345,5,FALSE)="","",VLOOKUP(M$6&amp;$C36,'◆（運営）③結果入力'!$D$16:$K$345,5,FALSE)))</f>
      </c>
      <c r="AI36" s="343">
        <f>IF(ISERROR(VLOOKUP(N$6&amp;$C36,'◆（運営）③結果入力'!$D$16:$K$345,5,FALSE)),IF(VLOOKUP(N$6&amp;$C36,'◆（運営）③結果入力'!$E$16:$K$345,7,FALSE)="","",VLOOKUP(N$6&amp;$C36,'◆（運営）③結果入力'!$E$16:$K$345,7,FALSE)),IF(VLOOKUP(N$6&amp;$C36,'◆（運営）③結果入力'!$D$16:$K$345,5,FALSE)="","",VLOOKUP(N$6&amp;$C36,'◆（運営）③結果入力'!$D$16:$K$345,5,FALSE)))</f>
      </c>
      <c r="AJ36" s="343">
        <f>IF(O32="","",IF(ISERROR(VLOOKUP(O$6&amp;$C36,'◆（運営）③結果入力'!$D$16:$K$345,5,FALSE)),IF(VLOOKUP(O$6&amp;$C36,'◆（運営）③結果入力'!$E$16:$K$345,7,FALSE)="","",VLOOKUP(O$6&amp;$C36,'◆（運営）③結果入力'!$E$16:$K$345,7,FALSE)),IF(VLOOKUP(O$6&amp;$C36,'◆（運営）③結果入力'!$D$16:$K$345,5,FALSE)="","",VLOOKUP(O$6&amp;$C36,'◆（運営）③結果入力'!$D$16:$K$345,5,FALSE))))</f>
        <v>109</v>
      </c>
      <c r="AK36" s="343"/>
      <c r="AL36" s="344"/>
      <c r="AM36" s="345">
        <f t="shared" si="41"/>
        <v>119</v>
      </c>
      <c r="AO36" s="335">
        <f t="shared" si="42"/>
        <v>0</v>
      </c>
      <c r="AP36" s="335">
        <f t="shared" si="43"/>
        <v>0</v>
      </c>
      <c r="AQ36" s="335">
        <f t="shared" si="44"/>
        <v>346</v>
      </c>
      <c r="AR36" s="335">
        <f t="shared" si="45"/>
        <v>346</v>
      </c>
      <c r="AS36" s="335">
        <f t="shared" si="46"/>
        <v>4</v>
      </c>
    </row>
    <row r="37" spans="1:45" ht="12" customHeight="1">
      <c r="A37" s="274">
        <v>5</v>
      </c>
      <c r="B37" s="315" t="str">
        <f t="shared" si="31"/>
        <v>和歌山</v>
      </c>
      <c r="C37" s="316" t="str">
        <f>IF(B37="","",VLOOKUP(B37,'ブロック表'!$C$4:$N$15,7,FALSE))</f>
        <v>杉本 博章</v>
      </c>
      <c r="D37" s="317"/>
      <c r="E37" s="318"/>
      <c r="F37" s="319" t="str">
        <f>IF(ISERROR(VLOOKUP(F$6&amp;$C37,'◆（運営）③結果入力'!$D$16:$I$345,6,FALSE)),IF(VLOOKUP(F$6&amp;$C37,'◆（運営）③結果入力'!$E$16:$J$345,6,FALSE)="","",VLOOKUP(F$6&amp;$C37,'◆（運営）③結果入力'!$E$16:$J$345,6,FALSE)),IF(VLOOKUP(F$6&amp;$C37,'◆（運営）③結果入力'!$D$16:$I$345,6,FALSE)="","",VLOOKUP(F$6&amp;$C37,'◆（運営）③結果入力'!$D$16:$I$345,6,FALSE)))</f>
        <v>W</v>
      </c>
      <c r="G37" s="320" t="str">
        <f>IF(ISERROR(VLOOKUP(G$6&amp;$C37,'◆（運営）③結果入力'!$D$16:$I$345,6,FALSE)),IF(VLOOKUP(G$6&amp;$C37,'◆（運営）③結果入力'!$E$16:$J$345,6,FALSE)="","",VLOOKUP(G$6&amp;$C37,'◆（運営）③結果入力'!$E$16:$J$345,6,FALSE)),IF(VLOOKUP(G$6&amp;$C37,'◆（運営）③結果入力'!$D$16:$I$345,6,FALSE)="","",VLOOKUP(G$6&amp;$C37,'◆（運営）③結果入力'!$D$16:$I$345,6,FALSE)))</f>
        <v>W</v>
      </c>
      <c r="H37" s="320">
        <f>IF(ISERROR(VLOOKUP(H$6&amp;$C37,'◆（運営）③結果入力'!$D$16:$I$345,6,FALSE)),IF(VLOOKUP(H$6&amp;$C37,'◆（運営）③結果入力'!$E$16:$J$345,6,FALSE)="","",VLOOKUP(H$6&amp;$C37,'◆（運営）③結果入力'!$E$16:$J$345,6,FALSE)),IF(VLOOKUP(H$6&amp;$C37,'◆（運営）③結果入力'!$D$16:$I$345,6,FALSE)="","",VLOOKUP(H$6&amp;$C37,'◆（運営）③結果入力'!$D$16:$I$345,6,FALSE)))</f>
        <v>85</v>
      </c>
      <c r="I37" s="320">
        <f>IF(ISERROR(VLOOKUP(I$6&amp;$C37,'◆（運営）③結果入力'!$D$16:$I$345,6,FALSE)),IF(VLOOKUP(I$6&amp;$C37,'◆（運営）③結果入力'!$E$16:$J$345,6,FALSE)="","",VLOOKUP(I$6&amp;$C37,'◆（運営）③結果入力'!$E$16:$J$345,6,FALSE)),IF(VLOOKUP(I$6&amp;$C37,'◆（運営）③結果入力'!$D$16:$I$345,6,FALSE)="","",VLOOKUP(I$6&amp;$C37,'◆（運営）③結果入力'!$D$16:$I$345,6,FALSE)))</f>
        <v>3</v>
      </c>
      <c r="J37" s="383"/>
      <c r="K37" s="320" t="str">
        <f>IF(ISERROR(VLOOKUP(K$6&amp;$C37,'◆（運営）③結果入力'!$D$16:$I$345,6,FALSE)),IF(VLOOKUP(K$6&amp;$C37,'◆（運営）③結果入力'!$E$16:$J$345,6,FALSE)="","",VLOOKUP(K$6&amp;$C37,'◆（運営）③結果入力'!$E$16:$J$345,6,FALSE)),IF(VLOOKUP(K$6&amp;$C37,'◆（運営）③結果入力'!$D$16:$I$345,6,FALSE)="","",VLOOKUP(K$6&amp;$C37,'◆（運営）③結果入力'!$D$16:$I$345,6,FALSE)))</f>
        <v>W</v>
      </c>
      <c r="L37" s="320" t="str">
        <f>IF(ISERROR(VLOOKUP(L$6&amp;$C37,'◆（運営）③結果入力'!$D$16:$I$345,6,FALSE)),IF(VLOOKUP(L$6&amp;$C37,'◆（運営）③結果入力'!$E$16:$J$345,6,FALSE)="","",VLOOKUP(L$6&amp;$C37,'◆（運営）③結果入力'!$E$16:$J$345,6,FALSE)),IF(VLOOKUP(L$6&amp;$C37,'◆（運営）③結果入力'!$D$16:$I$345,6,FALSE)="","",VLOOKUP(L$6&amp;$C37,'◆（運営）③結果入力'!$D$16:$I$345,6,FALSE)))</f>
        <v>W</v>
      </c>
      <c r="M37" s="320">
        <f>IF(ISERROR(VLOOKUP(M$6&amp;$C37,'◆（運営）③結果入力'!$D$16:$I$345,6,FALSE)),IF(VLOOKUP(M$6&amp;$C37,'◆（運営）③結果入力'!$E$16:$J$345,6,FALSE)="","",VLOOKUP(M$6&amp;$C37,'◆（運営）③結果入力'!$E$16:$J$345,6,FALSE)),IF(VLOOKUP(M$6&amp;$C37,'◆（運営）③結果入力'!$D$16:$I$345,6,FALSE)="","",VLOOKUP(M$6&amp;$C37,'◆（運営）③結果入力'!$D$16:$I$345,6,FALSE)))</f>
        <v>79</v>
      </c>
      <c r="N37" s="320" t="str">
        <f>IF(ISERROR(VLOOKUP(N$6&amp;$C37,'◆（運営）③結果入力'!$D$16:$I$345,6,FALSE)),IF(VLOOKUP(N$6&amp;$C37,'◆（運営）③結果入力'!$E$16:$J$345,6,FALSE)="","",VLOOKUP(N$6&amp;$C37,'◆（運営）③結果入力'!$E$16:$J$345,6,FALSE)),IF(VLOOKUP(N$6&amp;$C37,'◆（運営）③結果入力'!$D$16:$I$345,6,FALSE)="","",VLOOKUP(N$6&amp;$C37,'◆（運営）③結果入力'!$D$16:$I$345,6,FALSE)))</f>
        <v>W</v>
      </c>
      <c r="O37" s="320" t="str">
        <f>IF(O32="","",IF(ISERROR(VLOOKUP(O$6&amp;$C37,'◆（運営）③結果入力'!$D$16:$I$345,6,FALSE)),IF(VLOOKUP(O$6&amp;$C37,'◆（運営）③結果入力'!$E$16:$J$345,6,FALSE)="","",VLOOKUP(O$6&amp;$C37,'◆（運営）③結果入力'!$E$16:$J$345,6,FALSE)),IF(VLOOKUP(O$6&amp;$C37,'◆（運営）③結果入力'!$D$16:$I$345,6,FALSE)="","",VLOOKUP(O$6&amp;$C37,'◆（運営）③結果入力'!$D$16:$I$345,6,FALSE))))</f>
        <v>W</v>
      </c>
      <c r="P37" s="340">
        <f t="shared" si="32"/>
        <v>6</v>
      </c>
      <c r="Q37" s="200">
        <f t="shared" si="33"/>
        <v>3</v>
      </c>
      <c r="R37" s="341">
        <f t="shared" si="34"/>
        <v>887</v>
      </c>
      <c r="S37" s="341">
        <f>IF(COUNTBLANK(F37:O37)=10,"",SUM(J33:J42)+(Q37*120))</f>
        <v>649</v>
      </c>
      <c r="T37" s="303">
        <f t="shared" si="35"/>
        <v>3</v>
      </c>
      <c r="U37" s="276">
        <f t="shared" si="36"/>
        <v>9</v>
      </c>
      <c r="V37" s="276">
        <f t="shared" si="37"/>
        <v>0</v>
      </c>
      <c r="W37" s="276">
        <f t="shared" si="38"/>
        <v>608869351</v>
      </c>
      <c r="X37" s="276">
        <f>IF(W37=0,"",IF(W37=MAX($W$11,$W$24,$W$37,$W$50,$W$63),1,""))</f>
        <v>1</v>
      </c>
      <c r="Y37" s="276" t="str">
        <f t="shared" si="39"/>
        <v>1和歌山</v>
      </c>
      <c r="Z37" s="276" t="str">
        <f t="shared" si="40"/>
        <v>杉本 博章</v>
      </c>
      <c r="AA37" s="342">
        <f>IF(ISERROR(VLOOKUP(F$6&amp;$C37,'◆（運営）③結果入力'!$D$16:$K$345,5,FALSE)),IF(VLOOKUP(F$6&amp;$C37,'◆（運営）③結果入力'!$E$16:$K$345,7,FALSE)="","",VLOOKUP(F$6&amp;$C37,'◆（運営）③結果入力'!$E$16:$K$345,7,FALSE)),IF(VLOOKUP(F$6&amp;$C37,'◆（運営）③結果入力'!$D$16:$K$345,5,FALSE)="","",VLOOKUP(F$6&amp;$C37,'◆（運営）③結果入力'!$D$16:$K$345,5,FALSE)))</f>
      </c>
      <c r="AB37" s="343">
        <f>IF(ISERROR(VLOOKUP(G$6&amp;$C37,'◆（運営）③結果入力'!$D$16:$K$345,5,FALSE)),IF(VLOOKUP(G$6&amp;$C37,'◆（運営）③結果入力'!$E$16:$K$345,7,FALSE)="","",VLOOKUP(G$6&amp;$C37,'◆（運営）③結果入力'!$E$16:$K$345,7,FALSE)),IF(VLOOKUP(G$6&amp;$C37,'◆（運営）③結果入力'!$D$16:$K$345,5,FALSE)="","",VLOOKUP(G$6&amp;$C37,'◆（運営）③結果入力'!$D$16:$K$345,5,FALSE)))</f>
      </c>
      <c r="AC37" s="343">
        <f>IF(ISERROR(VLOOKUP(H$6&amp;$C37,'◆（運営）③結果入力'!$D$16:$K$345,5,FALSE)),IF(VLOOKUP(H$6&amp;$C37,'◆（運営）③結果入力'!$E$16:$K$345,7,FALSE)="","",VLOOKUP(H$6&amp;$C37,'◆（運営）③結果入力'!$E$16:$K$345,7,FALSE)),IF(VLOOKUP(H$6&amp;$C37,'◆（運営）③結果入力'!$D$16:$K$345,5,FALSE)="","",VLOOKUP(H$6&amp;$C37,'◆（運営）③結果入力'!$D$16:$K$345,5,FALSE)))</f>
      </c>
      <c r="AD37" s="343">
        <f>IF(ISERROR(VLOOKUP(I$6&amp;$C37,'◆（運営）③結果入力'!$D$16:$K$345,5,FALSE)),IF(VLOOKUP(I$6&amp;$C37,'◆（運営）③結果入力'!$E$16:$K$345,7,FALSE)="","",VLOOKUP(I$6&amp;$C37,'◆（運営）③結果入力'!$E$16:$K$345,7,FALSE)),IF(VLOOKUP(I$6&amp;$C37,'◆（運営）③結果入力'!$D$16:$K$345,5,FALSE)="","",VLOOKUP(I$6&amp;$C37,'◆（運営）③結果入力'!$D$16:$K$345,5,FALSE)))</f>
      </c>
      <c r="AE37" s="386"/>
      <c r="AF37" s="343">
        <f>IF(ISERROR(VLOOKUP(K$6&amp;$C37,'◆（運営）③結果入力'!$D$16:$K$345,5,FALSE)),IF(VLOOKUP(K$6&amp;$C37,'◆（運営）③結果入力'!$E$16:$K$345,7,FALSE)="","",VLOOKUP(K$6&amp;$C37,'◆（運営）③結果入力'!$E$16:$K$345,7,FALSE)),IF(VLOOKUP(K$6&amp;$C37,'◆（運営）③結果入力'!$D$16:$K$345,5,FALSE)="","",VLOOKUP(K$6&amp;$C37,'◆（運営）③結果入力'!$D$16:$K$345,5,FALSE)))</f>
      </c>
      <c r="AG37" s="343">
        <f>IF(ISERROR(VLOOKUP(L$6&amp;$C37,'◆（運営）③結果入力'!$D$16:$K$345,5,FALSE)),IF(VLOOKUP(L$6&amp;$C37,'◆（運営）③結果入力'!$E$16:$K$345,7,FALSE)="","",VLOOKUP(L$6&amp;$C37,'◆（運営）③結果入力'!$E$16:$K$345,7,FALSE)),IF(VLOOKUP(L$6&amp;$C37,'◆（運営）③結果入力'!$D$16:$K$345,5,FALSE)="","",VLOOKUP(L$6&amp;$C37,'◆（運営）③結果入力'!$D$16:$K$345,5,FALSE)))</f>
      </c>
      <c r="AH37" s="343">
        <f>IF(ISERROR(VLOOKUP(M$6&amp;$C37,'◆（運営）③結果入力'!$D$16:$K$345,5,FALSE)),IF(VLOOKUP(M$6&amp;$C37,'◆（運営）③結果入力'!$E$16:$K$345,7,FALSE)="","",VLOOKUP(M$6&amp;$C37,'◆（運営）③結果入力'!$E$16:$K$345,7,FALSE)),IF(VLOOKUP(M$6&amp;$C37,'◆（運営）③結果入力'!$D$16:$K$345,5,FALSE)="","",VLOOKUP(M$6&amp;$C37,'◆（運営）③結果入力'!$D$16:$K$345,5,FALSE)))</f>
      </c>
      <c r="AI37" s="343">
        <f>IF(ISERROR(VLOOKUP(N$6&amp;$C37,'◆（運営）③結果入力'!$D$16:$K$345,5,FALSE)),IF(VLOOKUP(N$6&amp;$C37,'◆（運営）③結果入力'!$E$16:$K$345,7,FALSE)="","",VLOOKUP(N$6&amp;$C37,'◆（運営）③結果入力'!$E$16:$K$345,7,FALSE)),IF(VLOOKUP(N$6&amp;$C37,'◆（運営）③結果入力'!$D$16:$K$345,5,FALSE)="","",VLOOKUP(N$6&amp;$C37,'◆（運営）③結果入力'!$D$16:$K$345,5,FALSE)))</f>
        <v>123</v>
      </c>
      <c r="AJ37" s="343">
        <f>IF(O32="","",IF(ISERROR(VLOOKUP(O$6&amp;$C37,'◆（運営）③結果入力'!$D$16:$K$345,5,FALSE)),IF(VLOOKUP(O$6&amp;$C37,'◆（運営）③結果入力'!$E$16:$K$345,7,FALSE)="","",VLOOKUP(O$6&amp;$C37,'◆（運営）③結果入力'!$E$16:$K$345,7,FALSE)),IF(VLOOKUP(O$6&amp;$C37,'◆（運営）③結果入力'!$D$16:$K$345,5,FALSE)="","",VLOOKUP(O$6&amp;$C37,'◆（運営）③結果入力'!$D$16:$K$345,5,FALSE))))</f>
      </c>
      <c r="AK37" s="343"/>
      <c r="AL37" s="344"/>
      <c r="AM37" s="345">
        <f t="shared" si="41"/>
        <v>123</v>
      </c>
      <c r="AO37" s="335">
        <f t="shared" si="42"/>
        <v>0</v>
      </c>
      <c r="AP37" s="335">
        <f t="shared" si="43"/>
        <v>0</v>
      </c>
      <c r="AQ37" s="335">
        <f t="shared" si="44"/>
        <v>123</v>
      </c>
      <c r="AR37" s="335">
        <f t="shared" si="45"/>
        <v>123</v>
      </c>
      <c r="AS37" s="335">
        <f t="shared" si="46"/>
        <v>7</v>
      </c>
    </row>
    <row r="38" spans="1:45" ht="12" customHeight="1">
      <c r="A38" s="274">
        <v>6</v>
      </c>
      <c r="B38" s="315" t="str">
        <f t="shared" si="31"/>
        <v>滋賀</v>
      </c>
      <c r="C38" s="316" t="str">
        <f>IF(B38="","",VLOOKUP(B38,'ブロック表'!$C$4:$N$15,7,FALSE))</f>
        <v>西峰 久祐</v>
      </c>
      <c r="D38" s="317"/>
      <c r="E38" s="318"/>
      <c r="F38" s="319" t="str">
        <f>IF(ISERROR(VLOOKUP(F$6&amp;$C38,'◆（運営）③結果入力'!$D$16:$I$345,6,FALSE)),IF(VLOOKUP(F$6&amp;$C38,'◆（運営）③結果入力'!$E$16:$J$345,6,FALSE)="","",VLOOKUP(F$6&amp;$C38,'◆（運営）③結果入力'!$E$16:$J$345,6,FALSE)),IF(VLOOKUP(F$6&amp;$C38,'◆（運営）③結果入力'!$D$16:$I$345,6,FALSE)="","",VLOOKUP(F$6&amp;$C38,'◆（運営）③結果入力'!$D$16:$I$345,6,FALSE)))</f>
        <v>W</v>
      </c>
      <c r="G38" s="320">
        <f>IF(ISERROR(VLOOKUP(G$6&amp;$C38,'◆（運営）③結果入力'!$D$16:$I$345,6,FALSE)),IF(VLOOKUP(G$6&amp;$C38,'◆（運営）③結果入力'!$E$16:$J$345,6,FALSE)="","",VLOOKUP(G$6&amp;$C38,'◆（運営）③結果入力'!$E$16:$J$345,6,FALSE)),IF(VLOOKUP(G$6&amp;$C38,'◆（運営）③結果入力'!$D$16:$I$345,6,FALSE)="","",VLOOKUP(G$6&amp;$C38,'◆（運営）③結果入力'!$D$16:$I$345,6,FALSE)))</f>
        <v>32</v>
      </c>
      <c r="H38" s="320">
        <f>IF(ISERROR(VLOOKUP(H$6&amp;$C38,'◆（運営）③結果入力'!$D$16:$I$345,6,FALSE)),IF(VLOOKUP(H$6&amp;$C38,'◆（運営）③結果入力'!$E$16:$J$345,6,FALSE)="","",VLOOKUP(H$6&amp;$C38,'◆（運営）③結果入力'!$E$16:$J$345,6,FALSE)),IF(VLOOKUP(H$6&amp;$C38,'◆（運営）③結果入力'!$D$16:$I$345,6,FALSE)="","",VLOOKUP(H$6&amp;$C38,'◆（運営）③結果入力'!$D$16:$I$345,6,FALSE)))</f>
        <v>7</v>
      </c>
      <c r="I38" s="320">
        <f>IF(ISERROR(VLOOKUP(I$6&amp;$C38,'◆（運営）③結果入力'!$D$16:$I$345,6,FALSE)),IF(VLOOKUP(I$6&amp;$C38,'◆（運営）③結果入力'!$E$16:$J$345,6,FALSE)="","",VLOOKUP(I$6&amp;$C38,'◆（運営）③結果入力'!$E$16:$J$345,6,FALSE)),IF(VLOOKUP(I$6&amp;$C38,'◆（運営）③結果入力'!$D$16:$I$345,6,FALSE)="","",VLOOKUP(I$6&amp;$C38,'◆（運営）③結果入力'!$D$16:$I$345,6,FALSE)))</f>
        <v>1</v>
      </c>
      <c r="J38" s="320">
        <f>IF(ISERROR(VLOOKUP(J$6&amp;$C38,'◆（運営）③結果入力'!$D$16:$I$345,6,FALSE)),IF(VLOOKUP(J$6&amp;$C38,'◆（運営）③結果入力'!$E$16:$J$345,6,FALSE)="","",VLOOKUP(J$6&amp;$C38,'◆（運営）③結果入力'!$E$16:$J$345,6,FALSE)),IF(VLOOKUP(J$6&amp;$C38,'◆（運営）③結果入力'!$D$16:$I$345,6,FALSE)="","",VLOOKUP(J$6&amp;$C38,'◆（運営）③結果入力'!$D$16:$I$345,6,FALSE)))</f>
        <v>56</v>
      </c>
      <c r="K38" s="383"/>
      <c r="L38" s="320" t="str">
        <f>IF(ISERROR(VLOOKUP(L$6&amp;$C38,'◆（運営）③結果入力'!$D$16:$I$345,6,FALSE)),IF(VLOOKUP(L$6&amp;$C38,'◆（運営）③結果入力'!$E$16:$J$345,6,FALSE)="","",VLOOKUP(L$6&amp;$C38,'◆（運営）③結果入力'!$E$16:$J$345,6,FALSE)),IF(VLOOKUP(L$6&amp;$C38,'◆（運営）③結果入力'!$D$16:$I$345,6,FALSE)="","",VLOOKUP(L$6&amp;$C38,'◆（運営）③結果入力'!$D$16:$I$345,6,FALSE)))</f>
        <v>W</v>
      </c>
      <c r="M38" s="320">
        <f>IF(ISERROR(VLOOKUP(M$6&amp;$C38,'◆（運営）③結果入力'!$D$16:$I$345,6,FALSE)),IF(VLOOKUP(M$6&amp;$C38,'◆（運営）③結果入力'!$E$16:$J$345,6,FALSE)="","",VLOOKUP(M$6&amp;$C38,'◆（運営）③結果入力'!$E$16:$J$345,6,FALSE)),IF(VLOOKUP(M$6&amp;$C38,'◆（運営）③結果入力'!$D$16:$I$345,6,FALSE)="","",VLOOKUP(M$6&amp;$C38,'◆（運営）③結果入力'!$D$16:$I$345,6,FALSE)))</f>
        <v>35</v>
      </c>
      <c r="N38" s="320">
        <f>IF(ISERROR(VLOOKUP(N$6&amp;$C38,'◆（運営）③結果入力'!$D$16:$I$345,6,FALSE)),IF(VLOOKUP(N$6&amp;$C38,'◆（運営）③結果入力'!$E$16:$J$345,6,FALSE)="","",VLOOKUP(N$6&amp;$C38,'◆（運営）③結果入力'!$E$16:$J$345,6,FALSE)),IF(VLOOKUP(N$6&amp;$C38,'◆（運営）③結果入力'!$D$16:$I$345,6,FALSE)="","",VLOOKUP(N$6&amp;$C38,'◆（運営）③結果入力'!$D$16:$I$345,6,FALSE)))</f>
        <v>29</v>
      </c>
      <c r="O38" s="320" t="str">
        <f>IF(O32="","",IF(ISERROR(VLOOKUP(O$6&amp;$C38,'◆（運営）③結果入力'!$D$16:$I$345,6,FALSE)),IF(VLOOKUP(O$6&amp;$C38,'◆（運営）③結果入力'!$E$16:$J$345,6,FALSE)="","",VLOOKUP(O$6&amp;$C38,'◆（運営）③結果入力'!$E$16:$J$345,6,FALSE)),IF(VLOOKUP(O$6&amp;$C38,'◆（運営）③結果入力'!$D$16:$I$345,6,FALSE)="","",VLOOKUP(O$6&amp;$C38,'◆（運営）③結果入力'!$D$16:$I$345,6,FALSE))))</f>
        <v>W</v>
      </c>
      <c r="P38" s="340">
        <f t="shared" si="32"/>
        <v>3</v>
      </c>
      <c r="Q38" s="200">
        <f t="shared" si="33"/>
        <v>6</v>
      </c>
      <c r="R38" s="341">
        <f t="shared" si="34"/>
        <v>520</v>
      </c>
      <c r="S38" s="341">
        <f>IF(COUNTBLANK(F38:O38)=10,"",SUM(K33:K42)+(Q38*120))</f>
        <v>857</v>
      </c>
      <c r="T38" s="303">
        <f t="shared" si="35"/>
        <v>9</v>
      </c>
      <c r="U38" s="276">
        <f t="shared" si="36"/>
        <v>9</v>
      </c>
      <c r="V38" s="276">
        <f t="shared" si="37"/>
        <v>0</v>
      </c>
      <c r="W38" s="276">
        <f t="shared" si="38"/>
        <v>305199143</v>
      </c>
      <c r="X38" s="276">
        <f>IF(W38=0,"",IF(W38=MAX($W$12,$W$25,$W$38,$W$51,$W$64),1,""))</f>
      </c>
      <c r="Y38" s="276" t="str">
        <f t="shared" si="39"/>
        <v>滋賀</v>
      </c>
      <c r="Z38" s="276" t="str">
        <f t="shared" si="40"/>
        <v>西峰 久祐</v>
      </c>
      <c r="AA38" s="342">
        <f>IF(ISERROR(VLOOKUP(F$6&amp;$C38,'◆（運営）③結果入力'!$D$16:$K$345,5,FALSE)),IF(VLOOKUP(F$6&amp;$C38,'◆（運営）③結果入力'!$E$16:$K$345,7,FALSE)="","",VLOOKUP(F$6&amp;$C38,'◆（運営）③結果入力'!$E$16:$K$345,7,FALSE)),IF(VLOOKUP(F$6&amp;$C38,'◆（運営）③結果入力'!$D$16:$K$345,5,FALSE)="","",VLOOKUP(F$6&amp;$C38,'◆（運営）③結果入力'!$D$16:$K$345,5,FALSE)))</f>
      </c>
      <c r="AB38" s="343">
        <f>IF(ISERROR(VLOOKUP(G$6&amp;$C38,'◆（運営）③結果入力'!$D$16:$K$345,5,FALSE)),IF(VLOOKUP(G$6&amp;$C38,'◆（運営）③結果入力'!$E$16:$K$345,7,FALSE)="","",VLOOKUP(G$6&amp;$C38,'◆（運営）③結果入力'!$E$16:$K$345,7,FALSE)),IF(VLOOKUP(G$6&amp;$C38,'◆（運営）③結果入力'!$D$16:$K$345,5,FALSE)="","",VLOOKUP(G$6&amp;$C38,'◆（運営）③結果入力'!$D$16:$K$345,5,FALSE)))</f>
      </c>
      <c r="AC38" s="343">
        <f>IF(ISERROR(VLOOKUP(H$6&amp;$C38,'◆（運営）③結果入力'!$D$16:$K$345,5,FALSE)),IF(VLOOKUP(H$6&amp;$C38,'◆（運営）③結果入力'!$E$16:$K$345,7,FALSE)="","",VLOOKUP(H$6&amp;$C38,'◆（運営）③結果入力'!$E$16:$K$345,7,FALSE)),IF(VLOOKUP(H$6&amp;$C38,'◆（運営）③結果入力'!$D$16:$K$345,5,FALSE)="","",VLOOKUP(H$6&amp;$C38,'◆（運営）③結果入力'!$D$16:$K$345,5,FALSE)))</f>
      </c>
      <c r="AD38" s="343">
        <f>IF(ISERROR(VLOOKUP(I$6&amp;$C38,'◆（運営）③結果入力'!$D$16:$K$345,5,FALSE)),IF(VLOOKUP(I$6&amp;$C38,'◆（運営）③結果入力'!$E$16:$K$345,7,FALSE)="","",VLOOKUP(I$6&amp;$C38,'◆（運営）③結果入力'!$E$16:$K$345,7,FALSE)),IF(VLOOKUP(I$6&amp;$C38,'◆（運営）③結果入力'!$D$16:$K$345,5,FALSE)="","",VLOOKUP(I$6&amp;$C38,'◆（運営）③結果入力'!$D$16:$K$345,5,FALSE)))</f>
      </c>
      <c r="AE38" s="343">
        <f>IF(ISERROR(VLOOKUP(J$6&amp;$C38,'◆（運営）③結果入力'!$D$16:$K$345,5,FALSE)),IF(VLOOKUP(J$6&amp;$C38,'◆（運営）③結果入力'!$E$16:$K$345,7,FALSE)="","",VLOOKUP(J$6&amp;$C38,'◆（運営）③結果入力'!$E$16:$K$345,7,FALSE)),IF(VLOOKUP(J$6&amp;$C38,'◆（運営）③結果入力'!$D$16:$K$345,5,FALSE)="","",VLOOKUP(J$6&amp;$C38,'◆（運営）③結果入力'!$D$16:$K$345,5,FALSE)))</f>
      </c>
      <c r="AF38" s="386"/>
      <c r="AG38" s="343">
        <f>IF(ISERROR(VLOOKUP(L$6&amp;$C38,'◆（運営）③結果入力'!$D$16:$K$345,5,FALSE)),IF(VLOOKUP(L$6&amp;$C38,'◆（運営）③結果入力'!$E$16:$K$345,7,FALSE)="","",VLOOKUP(L$6&amp;$C38,'◆（運営）③結果入力'!$E$16:$K$345,7,FALSE)),IF(VLOOKUP(L$6&amp;$C38,'◆（運営）③結果入力'!$D$16:$K$345,5,FALSE)="","",VLOOKUP(L$6&amp;$C38,'◆（運営）③結果入力'!$D$16:$K$345,5,FALSE)))</f>
      </c>
      <c r="AH38" s="343">
        <f>IF(ISERROR(VLOOKUP(M$6&amp;$C38,'◆（運営）③結果入力'!$D$16:$K$345,5,FALSE)),IF(VLOOKUP(M$6&amp;$C38,'◆（運営）③結果入力'!$E$16:$K$345,7,FALSE)="","",VLOOKUP(M$6&amp;$C38,'◆（運営）③結果入力'!$E$16:$K$345,7,FALSE)),IF(VLOOKUP(M$6&amp;$C38,'◆（運営）③結果入力'!$D$16:$K$345,5,FALSE)="","",VLOOKUP(M$6&amp;$C38,'◆（運営）③結果入力'!$D$16:$K$345,5,FALSE)))</f>
      </c>
      <c r="AI38" s="343">
        <f>IF(ISERROR(VLOOKUP(N$6&amp;$C38,'◆（運営）③結果入力'!$D$16:$K$345,5,FALSE)),IF(VLOOKUP(N$6&amp;$C38,'◆（運営）③結果入力'!$E$16:$K$345,7,FALSE)="","",VLOOKUP(N$6&amp;$C38,'◆（運営）③結果入力'!$E$16:$K$345,7,FALSE)),IF(VLOOKUP(N$6&amp;$C38,'◆（運営）③結果入力'!$D$16:$K$345,5,FALSE)="","",VLOOKUP(N$6&amp;$C38,'◆（運営）③結果入力'!$D$16:$K$345,5,FALSE)))</f>
      </c>
      <c r="AJ38" s="343">
        <f>IF(O32="","",IF(ISERROR(VLOOKUP(O$6&amp;$C38,'◆（運営）③結果入力'!$D$16:$K$345,5,FALSE)),IF(VLOOKUP(O$6&amp;$C38,'◆（運営）③結果入力'!$E$16:$K$345,7,FALSE)="","",VLOOKUP(O$6&amp;$C38,'◆（運営）③結果入力'!$E$16:$K$345,7,FALSE)),IF(VLOOKUP(O$6&amp;$C38,'◆（運営）③結果入力'!$D$16:$K$345,5,FALSE)="","",VLOOKUP(O$6&amp;$C38,'◆（運営）③結果入力'!$D$16:$K$345,5,FALSE))))</f>
      </c>
      <c r="AK38" s="343"/>
      <c r="AL38" s="344"/>
      <c r="AM38" s="345">
        <f t="shared" si="41"/>
      </c>
      <c r="AO38" s="335">
        <f t="shared" si="42"/>
        <v>0</v>
      </c>
      <c r="AP38" s="335">
        <f t="shared" si="43"/>
        <v>0</v>
      </c>
      <c r="AQ38" s="335">
        <f t="shared" si="44"/>
        <v>0</v>
      </c>
      <c r="AR38" s="335">
        <f t="shared" si="45"/>
        <v>0</v>
      </c>
      <c r="AS38" s="335">
        <f t="shared" si="46"/>
        <v>17</v>
      </c>
    </row>
    <row r="39" spans="1:45" ht="12" customHeight="1">
      <c r="A39" s="274">
        <v>7</v>
      </c>
      <c r="B39" s="315" t="str">
        <f t="shared" si="31"/>
        <v>奈良</v>
      </c>
      <c r="C39" s="316" t="str">
        <f>IF(B39="","",VLOOKUP(B39,'ブロック表'!$C$4:$N$15,7,FALSE))</f>
        <v>長谷川 進</v>
      </c>
      <c r="D39" s="317"/>
      <c r="E39" s="318"/>
      <c r="F39" s="319">
        <f>IF(ISERROR(VLOOKUP(F$6&amp;$C39,'◆（運営）③結果入力'!$D$16:$I$345,6,FALSE)),IF(VLOOKUP(F$6&amp;$C39,'◆（運営）③結果入力'!$E$16:$J$345,6,FALSE)="","",VLOOKUP(F$6&amp;$C39,'◆（運営）③結果入力'!$E$16:$J$345,6,FALSE)),IF(VLOOKUP(F$6&amp;$C39,'◆（運営）③結果入力'!$D$16:$I$345,6,FALSE)="","",VLOOKUP(F$6&amp;$C39,'◆（運営）③結果入力'!$D$16:$I$345,6,FALSE)))</f>
        <v>16</v>
      </c>
      <c r="G39" s="320">
        <f>IF(ISERROR(VLOOKUP(G$6&amp;$C39,'◆（運営）③結果入力'!$D$16:$I$345,6,FALSE)),IF(VLOOKUP(G$6&amp;$C39,'◆（運営）③結果入力'!$E$16:$J$345,6,FALSE)="","",VLOOKUP(G$6&amp;$C39,'◆（運営）③結果入力'!$E$16:$J$345,6,FALSE)),IF(VLOOKUP(G$6&amp;$C39,'◆（運営）③結果入力'!$D$16:$I$345,6,FALSE)="","",VLOOKUP(G$6&amp;$C39,'◆（運営）③結果入力'!$D$16:$I$345,6,FALSE)))</f>
        <v>67</v>
      </c>
      <c r="H39" s="320">
        <f>IF(ISERROR(VLOOKUP(H$6&amp;$C39,'◆（運営）③結果入力'!$D$16:$I$345,6,FALSE)),IF(VLOOKUP(H$6&amp;$C39,'◆（運営）③結果入力'!$E$16:$J$345,6,FALSE)="","",VLOOKUP(H$6&amp;$C39,'◆（運営）③結果入力'!$E$16:$J$345,6,FALSE)),IF(VLOOKUP(H$6&amp;$C39,'◆（運営）③結果入力'!$D$16:$I$345,6,FALSE)="","",VLOOKUP(H$6&amp;$C39,'◆（運営）③結果入力'!$D$16:$I$345,6,FALSE)))</f>
        <v>16</v>
      </c>
      <c r="I39" s="320">
        <f>IF(ISERROR(VLOOKUP(I$6&amp;$C39,'◆（運営）③結果入力'!$D$16:$I$345,6,FALSE)),IF(VLOOKUP(I$6&amp;$C39,'◆（運営）③結果入力'!$E$16:$J$345,6,FALSE)="","",VLOOKUP(I$6&amp;$C39,'◆（運営）③結果入力'!$E$16:$J$345,6,FALSE)),IF(VLOOKUP(I$6&amp;$C39,'◆（運営）③結果入力'!$D$16:$I$345,6,FALSE)="","",VLOOKUP(I$6&amp;$C39,'◆（運営）③結果入力'!$D$16:$I$345,6,FALSE)))</f>
        <v>65</v>
      </c>
      <c r="J39" s="320">
        <f>IF(ISERROR(VLOOKUP(J$6&amp;$C39,'◆（運営）③結果入力'!$D$16:$I$345,6,FALSE)),IF(VLOOKUP(J$6&amp;$C39,'◆（運営）③結果入力'!$E$16:$J$345,6,FALSE)="","",VLOOKUP(J$6&amp;$C39,'◆（運営）③結果入力'!$E$16:$J$345,6,FALSE)),IF(VLOOKUP(J$6&amp;$C39,'◆（運営）③結果入力'!$D$16:$I$345,6,FALSE)="","",VLOOKUP(J$6&amp;$C39,'◆（運営）③結果入力'!$D$16:$I$345,6,FALSE)))</f>
        <v>4</v>
      </c>
      <c r="K39" s="320">
        <f>IF(ISERROR(VLOOKUP(K$6&amp;$C39,'◆（運営）③結果入力'!$D$16:$I$345,6,FALSE)),IF(VLOOKUP(K$6&amp;$C39,'◆（運営）③結果入力'!$E$16:$J$345,6,FALSE)="","",VLOOKUP(K$6&amp;$C39,'◆（運営）③結果入力'!$E$16:$J$345,6,FALSE)),IF(VLOOKUP(K$6&amp;$C39,'◆（運営）③結果入力'!$D$16:$I$345,6,FALSE)="","",VLOOKUP(K$6&amp;$C39,'◆（運営）③結果入力'!$D$16:$I$345,6,FALSE)))</f>
        <v>68</v>
      </c>
      <c r="L39" s="383"/>
      <c r="M39" s="320">
        <f>IF(ISERROR(VLOOKUP(M$6&amp;$C39,'◆（運営）③結果入力'!$D$16:$I$345,6,FALSE)),IF(VLOOKUP(M$6&amp;$C39,'◆（運営）③結果入力'!$E$16:$J$345,6,FALSE)="","",VLOOKUP(M$6&amp;$C39,'◆（運営）③結果入力'!$E$16:$J$345,6,FALSE)),IF(VLOOKUP(M$6&amp;$C39,'◆（運営）③結果入力'!$D$16:$I$345,6,FALSE)="","",VLOOKUP(M$6&amp;$C39,'◆（運営）③結果入力'!$D$16:$I$345,6,FALSE)))</f>
        <v>37</v>
      </c>
      <c r="N39" s="320">
        <f>IF(ISERROR(VLOOKUP(N$6&amp;$C39,'◆（運営）③結果入力'!$D$16:$I$345,6,FALSE)),IF(VLOOKUP(N$6&amp;$C39,'◆（運営）③結果入力'!$E$16:$J$345,6,FALSE)="","",VLOOKUP(N$6&amp;$C39,'◆（運営）③結果入力'!$E$16:$J$345,6,FALSE)),IF(VLOOKUP(N$6&amp;$C39,'◆（運営）③結果入力'!$D$16:$I$345,6,FALSE)="","",VLOOKUP(N$6&amp;$C39,'◆（運営）③結果入力'!$D$16:$I$345,6,FALSE)))</f>
        <v>36</v>
      </c>
      <c r="O39" s="320" t="str">
        <f>IF(O32="","",IF(ISERROR(VLOOKUP(O$6&amp;$C39,'◆（運営）③結果入力'!$D$16:$I$345,6,FALSE)),IF(VLOOKUP(O$6&amp;$C39,'◆（運営）③結果入力'!$E$16:$J$345,6,FALSE)="","",VLOOKUP(O$6&amp;$C39,'◆（運営）③結果入力'!$E$16:$J$345,6,FALSE)),IF(VLOOKUP(O$6&amp;$C39,'◆（運営）③結果入力'!$D$16:$I$345,6,FALSE)="","",VLOOKUP(O$6&amp;$C39,'◆（運営）③結果入力'!$D$16:$I$345,6,FALSE))))</f>
        <v>W</v>
      </c>
      <c r="P39" s="340">
        <f t="shared" si="32"/>
        <v>1</v>
      </c>
      <c r="Q39" s="200">
        <f t="shared" si="33"/>
        <v>8</v>
      </c>
      <c r="R39" s="341">
        <f t="shared" si="34"/>
        <v>429</v>
      </c>
      <c r="S39" s="341">
        <f>IF(COUNTBLANK(F39:O39)=10,"",SUM(L33:L42)+(Q39*120))</f>
        <v>1056</v>
      </c>
      <c r="T39" s="303">
        <f t="shared" si="35"/>
        <v>10</v>
      </c>
      <c r="U39" s="276">
        <f t="shared" si="36"/>
        <v>9</v>
      </c>
      <c r="V39" s="276">
        <f t="shared" si="37"/>
        <v>0</v>
      </c>
      <c r="W39" s="276">
        <f t="shared" si="38"/>
        <v>104288944</v>
      </c>
      <c r="X39" s="276">
        <f>IF(W39=0,"",IF(W39=MAX($W$13,$W$26,$W$39,$W$52,$W$65),1,""))</f>
      </c>
      <c r="Y39" s="276" t="str">
        <f t="shared" si="39"/>
        <v>奈良</v>
      </c>
      <c r="Z39" s="276" t="str">
        <f t="shared" si="40"/>
        <v>長谷川 進</v>
      </c>
      <c r="AA39" s="342">
        <f>IF(ISERROR(VLOOKUP(F$6&amp;$C39,'◆（運営）③結果入力'!$D$16:$K$345,5,FALSE)),IF(VLOOKUP(F$6&amp;$C39,'◆（運営）③結果入力'!$E$16:$K$345,7,FALSE)="","",VLOOKUP(F$6&amp;$C39,'◆（運営）③結果入力'!$E$16:$K$345,7,FALSE)),IF(VLOOKUP(F$6&amp;$C39,'◆（運営）③結果入力'!$D$16:$K$345,5,FALSE)="","",VLOOKUP(F$6&amp;$C39,'◆（運営）③結果入力'!$D$16:$K$345,5,FALSE)))</f>
      </c>
      <c r="AB39" s="343">
        <f>IF(ISERROR(VLOOKUP(G$6&amp;$C39,'◆（運営）③結果入力'!$D$16:$K$345,5,FALSE)),IF(VLOOKUP(G$6&amp;$C39,'◆（運営）③結果入力'!$E$16:$K$345,7,FALSE)="","",VLOOKUP(G$6&amp;$C39,'◆（運営）③結果入力'!$E$16:$K$345,7,FALSE)),IF(VLOOKUP(G$6&amp;$C39,'◆（運営）③結果入力'!$D$16:$K$345,5,FALSE)="","",VLOOKUP(G$6&amp;$C39,'◆（運営）③結果入力'!$D$16:$K$345,5,FALSE)))</f>
      </c>
      <c r="AC39" s="343">
        <f>IF(ISERROR(VLOOKUP(H$6&amp;$C39,'◆（運営）③結果入力'!$D$16:$K$345,5,FALSE)),IF(VLOOKUP(H$6&amp;$C39,'◆（運営）③結果入力'!$E$16:$K$345,7,FALSE)="","",VLOOKUP(H$6&amp;$C39,'◆（運営）③結果入力'!$E$16:$K$345,7,FALSE)),IF(VLOOKUP(H$6&amp;$C39,'◆（運営）③結果入力'!$D$16:$K$345,5,FALSE)="","",VLOOKUP(H$6&amp;$C39,'◆（運営）③結果入力'!$D$16:$K$345,5,FALSE)))</f>
      </c>
      <c r="AD39" s="343">
        <f>IF(ISERROR(VLOOKUP(I$6&amp;$C39,'◆（運営）③結果入力'!$D$16:$K$345,5,FALSE)),IF(VLOOKUP(I$6&amp;$C39,'◆（運営）③結果入力'!$E$16:$K$345,7,FALSE)="","",VLOOKUP(I$6&amp;$C39,'◆（運営）③結果入力'!$E$16:$K$345,7,FALSE)),IF(VLOOKUP(I$6&amp;$C39,'◆（運営）③結果入力'!$D$16:$K$345,5,FALSE)="","",VLOOKUP(I$6&amp;$C39,'◆（運営）③結果入力'!$D$16:$K$345,5,FALSE)))</f>
      </c>
      <c r="AE39" s="343">
        <f>IF(ISERROR(VLOOKUP(J$6&amp;$C39,'◆（運営）③結果入力'!$D$16:$K$345,5,FALSE)),IF(VLOOKUP(J$6&amp;$C39,'◆（運営）③結果入力'!$E$16:$K$345,7,FALSE)="","",VLOOKUP(J$6&amp;$C39,'◆（運営）③結果入力'!$E$16:$K$345,7,FALSE)),IF(VLOOKUP(J$6&amp;$C39,'◆（運営）③結果入力'!$D$16:$K$345,5,FALSE)="","",VLOOKUP(J$6&amp;$C39,'◆（運営）③結果入力'!$D$16:$K$345,5,FALSE)))</f>
      </c>
      <c r="AF39" s="343">
        <f>IF(ISERROR(VLOOKUP(K$6&amp;$C39,'◆（運営）③結果入力'!$D$16:$K$345,5,FALSE)),IF(VLOOKUP(K$6&amp;$C39,'◆（運営）③結果入力'!$E$16:$K$345,7,FALSE)="","",VLOOKUP(K$6&amp;$C39,'◆（運営）③結果入力'!$E$16:$K$345,7,FALSE)),IF(VLOOKUP(K$6&amp;$C39,'◆（運営）③結果入力'!$D$16:$K$345,5,FALSE)="","",VLOOKUP(K$6&amp;$C39,'◆（運営）③結果入力'!$D$16:$K$345,5,FALSE)))</f>
      </c>
      <c r="AG39" s="386"/>
      <c r="AH39" s="343">
        <f>IF(ISERROR(VLOOKUP(M$6&amp;$C39,'◆（運営）③結果入力'!$D$16:$K$345,5,FALSE)),IF(VLOOKUP(M$6&amp;$C39,'◆（運営）③結果入力'!$E$16:$K$345,7,FALSE)="","",VLOOKUP(M$6&amp;$C39,'◆（運営）③結果入力'!$E$16:$K$345,7,FALSE)),IF(VLOOKUP(M$6&amp;$C39,'◆（運営）③結果入力'!$D$16:$K$345,5,FALSE)="","",VLOOKUP(M$6&amp;$C39,'◆（運営）③結果入力'!$D$16:$K$345,5,FALSE)))</f>
      </c>
      <c r="AI39" s="343">
        <f>IF(ISERROR(VLOOKUP(N$6&amp;$C39,'◆（運営）③結果入力'!$D$16:$K$345,5,FALSE)),IF(VLOOKUP(N$6&amp;$C39,'◆（運営）③結果入力'!$E$16:$K$345,7,FALSE)="","",VLOOKUP(N$6&amp;$C39,'◆（運営）③結果入力'!$E$16:$K$345,7,FALSE)),IF(VLOOKUP(N$6&amp;$C39,'◆（運営）③結果入力'!$D$16:$K$345,5,FALSE)="","",VLOOKUP(N$6&amp;$C39,'◆（運営）③結果入力'!$D$16:$K$345,5,FALSE)))</f>
      </c>
      <c r="AJ39" s="343">
        <f>IF(O32="","",IF(ISERROR(VLOOKUP(O$6&amp;$C39,'◆（運営）③結果入力'!$D$16:$K$345,5,FALSE)),IF(VLOOKUP(O$6&amp;$C39,'◆（運営）③結果入力'!$E$16:$K$345,7,FALSE)="","",VLOOKUP(O$6&amp;$C39,'◆（運営）③結果入力'!$E$16:$K$345,7,FALSE)),IF(VLOOKUP(O$6&amp;$C39,'◆（運営）③結果入力'!$D$16:$K$345,5,FALSE)="","",VLOOKUP(O$6&amp;$C39,'◆（運営）③結果入力'!$D$16:$K$345,5,FALSE))))</f>
      </c>
      <c r="AK39" s="343"/>
      <c r="AL39" s="344"/>
      <c r="AM39" s="345">
        <f t="shared" si="41"/>
      </c>
      <c r="AO39" s="335">
        <f t="shared" si="42"/>
        <v>0</v>
      </c>
      <c r="AP39" s="335">
        <f t="shared" si="43"/>
        <v>0</v>
      </c>
      <c r="AQ39" s="335">
        <f t="shared" si="44"/>
        <v>0</v>
      </c>
      <c r="AR39" s="335">
        <f t="shared" si="45"/>
        <v>0</v>
      </c>
      <c r="AS39" s="335">
        <f t="shared" si="46"/>
        <v>17</v>
      </c>
    </row>
    <row r="40" spans="1:45" ht="12" customHeight="1">
      <c r="A40" s="274">
        <v>8</v>
      </c>
      <c r="B40" s="315" t="str">
        <f t="shared" si="31"/>
        <v>三重</v>
      </c>
      <c r="C40" s="316" t="str">
        <f>IF(B40="","",VLOOKUP(B40,'ブロック表'!$C$4:$N$15,7,FALSE))</f>
        <v>黒宮 健二</v>
      </c>
      <c r="D40" s="317"/>
      <c r="E40" s="318"/>
      <c r="F40" s="319" t="str">
        <f>IF(ISERROR(VLOOKUP(F$6&amp;$C40,'◆（運営）③結果入力'!$D$16:$I$345,6,FALSE)),IF(VLOOKUP(F$6&amp;$C40,'◆（運営）③結果入力'!$E$16:$J$345,6,FALSE)="","",VLOOKUP(F$6&amp;$C40,'◆（運営）③結果入力'!$E$16:$J$345,6,FALSE)),IF(VLOOKUP(F$6&amp;$C40,'◆（運営）③結果入力'!$D$16:$I$345,6,FALSE)="","",VLOOKUP(F$6&amp;$C40,'◆（運営）③結果入力'!$D$16:$I$345,6,FALSE)))</f>
        <v>W</v>
      </c>
      <c r="G40" s="320">
        <f>IF(ISERROR(VLOOKUP(G$6&amp;$C40,'◆（運営）③結果入力'!$D$16:$I$345,6,FALSE)),IF(VLOOKUP(G$6&amp;$C40,'◆（運営）③結果入力'!$E$16:$J$345,6,FALSE)="","",VLOOKUP(G$6&amp;$C40,'◆（運営）③結果入力'!$E$16:$J$345,6,FALSE)),IF(VLOOKUP(G$6&amp;$C40,'◆（運営）③結果入力'!$D$16:$I$345,6,FALSE)="","",VLOOKUP(G$6&amp;$C40,'◆（運営）③結果入力'!$D$16:$I$345,6,FALSE)))</f>
        <v>51</v>
      </c>
      <c r="H40" s="320">
        <f>IF(ISERROR(VLOOKUP(H$6&amp;$C40,'◆（運営）③結果入力'!$D$16:$I$345,6,FALSE)),IF(VLOOKUP(H$6&amp;$C40,'◆（運営）③結果入力'!$E$16:$J$345,6,FALSE)="","",VLOOKUP(H$6&amp;$C40,'◆（運営）③結果入力'!$E$16:$J$345,6,FALSE)),IF(VLOOKUP(H$6&amp;$C40,'◆（運営）③結果入力'!$D$16:$I$345,6,FALSE)="","",VLOOKUP(H$6&amp;$C40,'◆（運営）③結果入力'!$D$16:$I$345,6,FALSE)))</f>
        <v>51</v>
      </c>
      <c r="I40" s="320" t="str">
        <f>IF(ISERROR(VLOOKUP(I$6&amp;$C40,'◆（運営）③結果入力'!$D$16:$I$345,6,FALSE)),IF(VLOOKUP(I$6&amp;$C40,'◆（運営）③結果入力'!$E$16:$J$345,6,FALSE)="","",VLOOKUP(I$6&amp;$C40,'◆（運営）③結果入力'!$E$16:$J$345,6,FALSE)),IF(VLOOKUP(I$6&amp;$C40,'◆（運営）③結果入力'!$D$16:$I$345,6,FALSE)="","",VLOOKUP(I$6&amp;$C40,'◆（運営）③結果入力'!$D$16:$I$345,6,FALSE)))</f>
        <v>W</v>
      </c>
      <c r="J40" s="320" t="str">
        <f>IF(ISERROR(VLOOKUP(J$6&amp;$C40,'◆（運営）③結果入力'!$D$16:$I$345,6,FALSE)),IF(VLOOKUP(J$6&amp;$C40,'◆（運営）③結果入力'!$E$16:$J$345,6,FALSE)="","",VLOOKUP(J$6&amp;$C40,'◆（運営）③結果入力'!$E$16:$J$345,6,FALSE)),IF(VLOOKUP(J$6&amp;$C40,'◆（運営）③結果入力'!$D$16:$I$345,6,FALSE)="","",VLOOKUP(J$6&amp;$C40,'◆（運営）③結果入力'!$D$16:$I$345,6,FALSE)))</f>
        <v>W</v>
      </c>
      <c r="K40" s="320" t="str">
        <f>IF(ISERROR(VLOOKUP(K$6&amp;$C40,'◆（運営）③結果入力'!$D$16:$I$345,6,FALSE)),IF(VLOOKUP(K$6&amp;$C40,'◆（運営）③結果入力'!$E$16:$J$345,6,FALSE)="","",VLOOKUP(K$6&amp;$C40,'◆（運営）③結果入力'!$E$16:$J$345,6,FALSE)),IF(VLOOKUP(K$6&amp;$C40,'◆（運営）③結果入力'!$D$16:$I$345,6,FALSE)="","",VLOOKUP(K$6&amp;$C40,'◆（運営）③結果入力'!$D$16:$I$345,6,FALSE)))</f>
        <v>W</v>
      </c>
      <c r="L40" s="320" t="str">
        <f>IF(ISERROR(VLOOKUP(L$6&amp;$C40,'◆（運営）③結果入力'!$D$16:$I$345,6,FALSE)),IF(VLOOKUP(L$6&amp;$C40,'◆（運営）③結果入力'!$E$16:$J$345,6,FALSE)="","",VLOOKUP(L$6&amp;$C40,'◆（運営）③結果入力'!$E$16:$J$345,6,FALSE)),IF(VLOOKUP(L$6&amp;$C40,'◆（運営）③結果入力'!$D$16:$I$345,6,FALSE)="","",VLOOKUP(L$6&amp;$C40,'◆（運営）③結果入力'!$D$16:$I$345,6,FALSE)))</f>
        <v>W</v>
      </c>
      <c r="M40" s="383"/>
      <c r="N40" s="320">
        <f>IF(ISERROR(VLOOKUP(N$6&amp;$C40,'◆（運営）③結果入力'!$D$16:$I$345,6,FALSE)),IF(VLOOKUP(N$6&amp;$C40,'◆（運営）③結果入力'!$E$16:$J$345,6,FALSE)="","",VLOOKUP(N$6&amp;$C40,'◆（運営）③結果入力'!$E$16:$J$345,6,FALSE)),IF(VLOOKUP(N$6&amp;$C40,'◆（運営）③結果入力'!$D$16:$I$345,6,FALSE)="","",VLOOKUP(N$6&amp;$C40,'◆（運営）③結果入力'!$D$16:$I$345,6,FALSE)))</f>
        <v>78</v>
      </c>
      <c r="O40" s="320">
        <f>IF(O32="","",IF(ISERROR(VLOOKUP(O$6&amp;$C40,'◆（運営）③結果入力'!$D$16:$I$345,6,FALSE)),IF(VLOOKUP(O$6&amp;$C40,'◆（運営）③結果入力'!$E$16:$J$345,6,FALSE)="","",VLOOKUP(O$6&amp;$C40,'◆（運営）③結果入力'!$E$16:$J$345,6,FALSE)),IF(VLOOKUP(O$6&amp;$C40,'◆（運営）③結果入力'!$D$16:$I$345,6,FALSE)="","",VLOOKUP(O$6&amp;$C40,'◆（運営）③結果入力'!$D$16:$I$345,6,FALSE))))</f>
        <v>26</v>
      </c>
      <c r="P40" s="340">
        <f t="shared" si="32"/>
        <v>5</v>
      </c>
      <c r="Q40" s="200">
        <f t="shared" si="33"/>
        <v>4</v>
      </c>
      <c r="R40" s="341">
        <f t="shared" si="34"/>
        <v>806</v>
      </c>
      <c r="S40" s="341">
        <f>IF(COUNTBLANK(F40:O40)=10,"",SUM(M33:M42)+(Q40*120))</f>
        <v>767</v>
      </c>
      <c r="T40" s="303">
        <f t="shared" si="35"/>
        <v>6</v>
      </c>
      <c r="U40" s="276">
        <f t="shared" si="36"/>
        <v>9</v>
      </c>
      <c r="V40" s="276">
        <f t="shared" si="37"/>
        <v>0</v>
      </c>
      <c r="W40" s="276">
        <f t="shared" si="38"/>
        <v>508059233</v>
      </c>
      <c r="X40" s="276">
        <f>IF(W40=0,"",IF(W40=MAX($W$14,$W$27,$W$40,$W$53,$W$66),1,""))</f>
      </c>
      <c r="Y40" s="276" t="str">
        <f t="shared" si="39"/>
        <v>三重</v>
      </c>
      <c r="Z40" s="276" t="str">
        <f t="shared" si="40"/>
        <v>黒宮 健二</v>
      </c>
      <c r="AA40" s="342">
        <f>IF(ISERROR(VLOOKUP(F$6&amp;$C40,'◆（運営）③結果入力'!$D$16:$K$345,5,FALSE)),IF(VLOOKUP(F$6&amp;$C40,'◆（運営）③結果入力'!$E$16:$K$345,7,FALSE)="","",VLOOKUP(F$6&amp;$C40,'◆（運営）③結果入力'!$E$16:$K$345,7,FALSE)),IF(VLOOKUP(F$6&amp;$C40,'◆（運営）③結果入力'!$D$16:$K$345,5,FALSE)="","",VLOOKUP(F$6&amp;$C40,'◆（運営）③結果入力'!$D$16:$K$345,5,FALSE)))</f>
      </c>
      <c r="AB40" s="343">
        <f>IF(ISERROR(VLOOKUP(G$6&amp;$C40,'◆（運営）③結果入力'!$D$16:$K$345,5,FALSE)),IF(VLOOKUP(G$6&amp;$C40,'◆（運営）③結果入力'!$E$16:$K$345,7,FALSE)="","",VLOOKUP(G$6&amp;$C40,'◆（運営）③結果入力'!$E$16:$K$345,7,FALSE)),IF(VLOOKUP(G$6&amp;$C40,'◆（運営）③結果入力'!$D$16:$K$345,5,FALSE)="","",VLOOKUP(G$6&amp;$C40,'◆（運営）③結果入力'!$D$16:$K$345,5,FALSE)))</f>
      </c>
      <c r="AC40" s="343">
        <f>IF(ISERROR(VLOOKUP(H$6&amp;$C40,'◆（運営）③結果入力'!$D$16:$K$345,5,FALSE)),IF(VLOOKUP(H$6&amp;$C40,'◆（運営）③結果入力'!$E$16:$K$345,7,FALSE)="","",VLOOKUP(H$6&amp;$C40,'◆（運営）③結果入力'!$E$16:$K$345,7,FALSE)),IF(VLOOKUP(H$6&amp;$C40,'◆（運営）③結果入力'!$D$16:$K$345,5,FALSE)="","",VLOOKUP(H$6&amp;$C40,'◆（運営）③結果入力'!$D$16:$K$345,5,FALSE)))</f>
      </c>
      <c r="AD40" s="343">
        <f>IF(ISERROR(VLOOKUP(I$6&amp;$C40,'◆（運営）③結果入力'!$D$16:$K$345,5,FALSE)),IF(VLOOKUP(I$6&amp;$C40,'◆（運営）③結果入力'!$E$16:$K$345,7,FALSE)="","",VLOOKUP(I$6&amp;$C40,'◆（運営）③結果入力'!$E$16:$K$345,7,FALSE)),IF(VLOOKUP(I$6&amp;$C40,'◆（運営）③結果入力'!$D$16:$K$345,5,FALSE)="","",VLOOKUP(I$6&amp;$C40,'◆（運営）③結果入力'!$D$16:$K$345,5,FALSE)))</f>
      </c>
      <c r="AE40" s="343">
        <f>IF(ISERROR(VLOOKUP(J$6&amp;$C40,'◆（運営）③結果入力'!$D$16:$K$345,5,FALSE)),IF(VLOOKUP(J$6&amp;$C40,'◆（運営）③結果入力'!$E$16:$K$345,7,FALSE)="","",VLOOKUP(J$6&amp;$C40,'◆（運営）③結果入力'!$E$16:$K$345,7,FALSE)),IF(VLOOKUP(J$6&amp;$C40,'◆（運営）③結果入力'!$D$16:$K$345,5,FALSE)="","",VLOOKUP(J$6&amp;$C40,'◆（運営）③結果入力'!$D$16:$K$345,5,FALSE)))</f>
      </c>
      <c r="AF40" s="343">
        <f>IF(ISERROR(VLOOKUP(K$6&amp;$C40,'◆（運営）③結果入力'!$D$16:$K$345,5,FALSE)),IF(VLOOKUP(K$6&amp;$C40,'◆（運営）③結果入力'!$E$16:$K$345,7,FALSE)="","",VLOOKUP(K$6&amp;$C40,'◆（運営）③結果入力'!$E$16:$K$345,7,FALSE)),IF(VLOOKUP(K$6&amp;$C40,'◆（運営）③結果入力'!$D$16:$K$345,5,FALSE)="","",VLOOKUP(K$6&amp;$C40,'◆（運営）③結果入力'!$D$16:$K$345,5,FALSE)))</f>
      </c>
      <c r="AG40" s="343">
        <f>IF(ISERROR(VLOOKUP(L$6&amp;$C40,'◆（運営）③結果入力'!$D$16:$K$345,5,FALSE)),IF(VLOOKUP(L$6&amp;$C40,'◆（運営）③結果入力'!$E$16:$K$345,7,FALSE)="","",VLOOKUP(L$6&amp;$C40,'◆（運営）③結果入力'!$E$16:$K$345,7,FALSE)),IF(VLOOKUP(L$6&amp;$C40,'◆（運営）③結果入力'!$D$16:$K$345,5,FALSE)="","",VLOOKUP(L$6&amp;$C40,'◆（運営）③結果入力'!$D$16:$K$345,5,FALSE)))</f>
      </c>
      <c r="AH40" s="386"/>
      <c r="AI40" s="343">
        <f>IF(ISERROR(VLOOKUP(N$6&amp;$C40,'◆（運営）③結果入力'!$D$16:$K$345,5,FALSE)),IF(VLOOKUP(N$6&amp;$C40,'◆（運営）③結果入力'!$E$16:$K$345,7,FALSE)="","",VLOOKUP(N$6&amp;$C40,'◆（運営）③結果入力'!$E$16:$K$345,7,FALSE)),IF(VLOOKUP(N$6&amp;$C40,'◆（運営）③結果入力'!$D$16:$K$345,5,FALSE)="","",VLOOKUP(N$6&amp;$C40,'◆（運営）③結果入力'!$D$16:$K$345,5,FALSE)))</f>
      </c>
      <c r="AJ40" s="343">
        <f>IF(O32="","",IF(ISERROR(VLOOKUP(O$6&amp;$C40,'◆（運営）③結果入力'!$D$16:$K$345,5,FALSE)),IF(VLOOKUP(O$6&amp;$C40,'◆（運営）③結果入力'!$E$16:$K$345,7,FALSE)="","",VLOOKUP(O$6&amp;$C40,'◆（運営）③結果入力'!$E$16:$K$345,7,FALSE)),IF(VLOOKUP(O$6&amp;$C40,'◆（運営）③結果入力'!$D$16:$K$345,5,FALSE)="","",VLOOKUP(O$6&amp;$C40,'◆（運営）③結果入力'!$D$16:$K$345,5,FALSE))))</f>
      </c>
      <c r="AK40" s="343"/>
      <c r="AL40" s="344"/>
      <c r="AM40" s="345">
        <f t="shared" si="41"/>
      </c>
      <c r="AO40" s="335">
        <f t="shared" si="42"/>
        <v>0</v>
      </c>
      <c r="AP40" s="335">
        <f t="shared" si="43"/>
        <v>0</v>
      </c>
      <c r="AQ40" s="335">
        <f t="shared" si="44"/>
        <v>0</v>
      </c>
      <c r="AR40" s="335">
        <f t="shared" si="45"/>
        <v>0</v>
      </c>
      <c r="AS40" s="335">
        <f t="shared" si="46"/>
        <v>17</v>
      </c>
    </row>
    <row r="41" spans="1:45" ht="12" customHeight="1">
      <c r="A41" s="274">
        <v>9</v>
      </c>
      <c r="B41" s="315" t="str">
        <f t="shared" si="31"/>
        <v>岐阜</v>
      </c>
      <c r="C41" s="316" t="str">
        <f>IF(B41="","",VLOOKUP(B41,'ブロック表'!$C$4:$N$15,7,FALSE))</f>
        <v>徳永 修児</v>
      </c>
      <c r="D41" s="317"/>
      <c r="E41" s="318"/>
      <c r="F41" s="319">
        <f>IF(ISERROR(VLOOKUP(F$6&amp;$C41,'◆（運営）③結果入力'!$D$16:$I$345,6,FALSE)),IF(VLOOKUP(F$6&amp;$C41,'◆（運営）③結果入力'!$E$16:$J$345,6,FALSE)="","",VLOOKUP(F$6&amp;$C41,'◆（運営）③結果入力'!$E$16:$J$345,6,FALSE)),IF(VLOOKUP(F$6&amp;$C41,'◆（運営）③結果入力'!$D$16:$I$345,6,FALSE)="","",VLOOKUP(F$6&amp;$C41,'◆（運営）③結果入力'!$D$16:$I$345,6,FALSE)))</f>
        <v>111</v>
      </c>
      <c r="G41" s="320" t="str">
        <f>IF(ISERROR(VLOOKUP(G$6&amp;$C41,'◆（運営）③結果入力'!$D$16:$I$345,6,FALSE)),IF(VLOOKUP(G$6&amp;$C41,'◆（運営）③結果入力'!$E$16:$J$345,6,FALSE)="","",VLOOKUP(G$6&amp;$C41,'◆（運営）③結果入力'!$E$16:$J$345,6,FALSE)),IF(VLOOKUP(G$6&amp;$C41,'◆（運営）③結果入力'!$D$16:$I$345,6,FALSE)="","",VLOOKUP(G$6&amp;$C41,'◆（運営）③結果入力'!$D$16:$I$345,6,FALSE)))</f>
        <v>W</v>
      </c>
      <c r="H41" s="320">
        <f>IF(ISERROR(VLOOKUP(H$6&amp;$C41,'◆（運営）③結果入力'!$D$16:$I$345,6,FALSE)),IF(VLOOKUP(H$6&amp;$C41,'◆（運営）③結果入力'!$E$16:$J$345,6,FALSE)="","",VLOOKUP(H$6&amp;$C41,'◆（運営）③結果入力'!$E$16:$J$345,6,FALSE)),IF(VLOOKUP(H$6&amp;$C41,'◆（運営）③結果入力'!$D$16:$I$345,6,FALSE)="","",VLOOKUP(H$6&amp;$C41,'◆（運営）③結果入力'!$D$16:$I$345,6,FALSE)))</f>
        <v>72</v>
      </c>
      <c r="I41" s="320">
        <f>IF(ISERROR(VLOOKUP(I$6&amp;$C41,'◆（運営）③結果入力'!$D$16:$I$345,6,FALSE)),IF(VLOOKUP(I$6&amp;$C41,'◆（運営）③結果入力'!$E$16:$J$345,6,FALSE)="","",VLOOKUP(I$6&amp;$C41,'◆（運営）③結果入力'!$E$16:$J$345,6,FALSE)),IF(VLOOKUP(I$6&amp;$C41,'◆（運営）③結果入力'!$D$16:$I$345,6,FALSE)="","",VLOOKUP(I$6&amp;$C41,'◆（運営）③結果入力'!$D$16:$I$345,6,FALSE)))</f>
        <v>21</v>
      </c>
      <c r="J41" s="320">
        <f>IF(ISERROR(VLOOKUP(J$6&amp;$C41,'◆（運営）③結果入力'!$D$16:$I$345,6,FALSE)),IF(VLOOKUP(J$6&amp;$C41,'◆（運営）③結果入力'!$E$16:$J$345,6,FALSE)="","",VLOOKUP(J$6&amp;$C41,'◆（運営）③結果入力'!$E$16:$J$345,6,FALSE)),IF(VLOOKUP(J$6&amp;$C41,'◆（運営）③結果入力'!$D$16:$I$345,6,FALSE)="","",VLOOKUP(J$6&amp;$C41,'◆（運営）③結果入力'!$D$16:$I$345,6,FALSE)))</f>
        <v>6</v>
      </c>
      <c r="K41" s="320" t="str">
        <f>IF(ISERROR(VLOOKUP(K$6&amp;$C41,'◆（運営）③結果入力'!$D$16:$I$345,6,FALSE)),IF(VLOOKUP(K$6&amp;$C41,'◆（運営）③結果入力'!$E$16:$J$345,6,FALSE)="","",VLOOKUP(K$6&amp;$C41,'◆（運営）③結果入力'!$E$16:$J$345,6,FALSE)),IF(VLOOKUP(K$6&amp;$C41,'◆（運営）③結果入力'!$D$16:$I$345,6,FALSE)="","",VLOOKUP(K$6&amp;$C41,'◆（運営）③結果入力'!$D$16:$I$345,6,FALSE)))</f>
        <v>W</v>
      </c>
      <c r="L41" s="320" t="str">
        <f>IF(ISERROR(VLOOKUP(L$6&amp;$C41,'◆（運営）③結果入力'!$D$16:$I$345,6,FALSE)),IF(VLOOKUP(L$6&amp;$C41,'◆（運営）③結果入力'!$E$16:$J$345,6,FALSE)="","",VLOOKUP(L$6&amp;$C41,'◆（運営）③結果入力'!$E$16:$J$345,6,FALSE)),IF(VLOOKUP(L$6&amp;$C41,'◆（運営）③結果入力'!$D$16:$I$345,6,FALSE)="","",VLOOKUP(L$6&amp;$C41,'◆（運営）③結果入力'!$D$16:$I$345,6,FALSE)))</f>
        <v>W</v>
      </c>
      <c r="M41" s="320" t="str">
        <f>IF(ISERROR(VLOOKUP(M$6&amp;$C41,'◆（運営）③結果入力'!$D$16:$I$345,6,FALSE)),IF(VLOOKUP(M$6&amp;$C41,'◆（運営）③結果入力'!$E$16:$J$345,6,FALSE)="","",VLOOKUP(M$6&amp;$C41,'◆（運営）③結果入力'!$E$16:$J$345,6,FALSE)),IF(VLOOKUP(M$6&amp;$C41,'◆（運営）③結果入力'!$D$16:$I$345,6,FALSE)="","",VLOOKUP(M$6&amp;$C41,'◆（運営）③結果入力'!$D$16:$I$345,6,FALSE)))</f>
        <v>W</v>
      </c>
      <c r="N41" s="383"/>
      <c r="O41" s="320" t="str">
        <f>IF(O32="","",IF(ISERROR(VLOOKUP(O$6&amp;$C41,'◆（運営）③結果入力'!$D$16:$I$345,6,FALSE)),IF(VLOOKUP(O$6&amp;$C41,'◆（運営）③結果入力'!$E$16:$J$345,6,FALSE)="","",VLOOKUP(O$6&amp;$C41,'◆（運営）③結果入力'!$E$16:$J$345,6,FALSE)),IF(VLOOKUP(O$6&amp;$C41,'◆（運営）③結果入力'!$D$16:$I$345,6,FALSE)="","",VLOOKUP(O$6&amp;$C41,'◆（運営）③結果入力'!$D$16:$I$345,6,FALSE))))</f>
        <v>W</v>
      </c>
      <c r="P41" s="340">
        <f t="shared" si="32"/>
        <v>5</v>
      </c>
      <c r="Q41" s="200">
        <f t="shared" si="33"/>
        <v>4</v>
      </c>
      <c r="R41" s="341">
        <f t="shared" si="34"/>
        <v>810</v>
      </c>
      <c r="S41" s="341">
        <f>IF(COUNTBLANK(F41:O41)=10,"",SUM(N33:N42)+(Q41*120))</f>
        <v>690</v>
      </c>
      <c r="T41" s="303">
        <f t="shared" si="35"/>
        <v>5</v>
      </c>
      <c r="U41" s="276">
        <f t="shared" si="36"/>
        <v>9</v>
      </c>
      <c r="V41" s="276">
        <f t="shared" si="37"/>
        <v>0</v>
      </c>
      <c r="W41" s="276">
        <f t="shared" si="38"/>
        <v>508099310</v>
      </c>
      <c r="X41" s="276">
        <f>IF(W41=0,"",IF(W41=MAX($W$15,$W$28,$W$41,$W$54,$W$67),1,""))</f>
        <v>1</v>
      </c>
      <c r="Y41" s="276" t="str">
        <f t="shared" si="39"/>
        <v>1岐阜</v>
      </c>
      <c r="Z41" s="276" t="str">
        <f t="shared" si="40"/>
        <v>徳永 修児</v>
      </c>
      <c r="AA41" s="342">
        <f>IF(ISERROR(VLOOKUP(F$6&amp;$C41,'◆（運営）③結果入力'!$D$16:$K$345,5,FALSE)),IF(VLOOKUP(F$6&amp;$C41,'◆（運営）③結果入力'!$E$16:$K$345,7,FALSE)="","",VLOOKUP(F$6&amp;$C41,'◆（運営）③結果入力'!$E$16:$K$345,7,FALSE)),IF(VLOOKUP(F$6&amp;$C41,'◆（運営）③結果入力'!$D$16:$K$345,5,FALSE)="","",VLOOKUP(F$6&amp;$C41,'◆（運営）③結果入力'!$D$16:$K$345,5,FALSE)))</f>
      </c>
      <c r="AB41" s="343">
        <f>IF(ISERROR(VLOOKUP(G$6&amp;$C41,'◆（運営）③結果入力'!$D$16:$K$345,5,FALSE)),IF(VLOOKUP(G$6&amp;$C41,'◆（運営）③結果入力'!$E$16:$K$345,7,FALSE)="","",VLOOKUP(G$6&amp;$C41,'◆（運営）③結果入力'!$E$16:$K$345,7,FALSE)),IF(VLOOKUP(G$6&amp;$C41,'◆（運営）③結果入力'!$D$16:$K$345,5,FALSE)="","",VLOOKUP(G$6&amp;$C41,'◆（運営）③結果入力'!$D$16:$K$345,5,FALSE)))</f>
      </c>
      <c r="AC41" s="343">
        <f>IF(ISERROR(VLOOKUP(H$6&amp;$C41,'◆（運営）③結果入力'!$D$16:$K$345,5,FALSE)),IF(VLOOKUP(H$6&amp;$C41,'◆（運営）③結果入力'!$E$16:$K$345,7,FALSE)="","",VLOOKUP(H$6&amp;$C41,'◆（運営）③結果入力'!$E$16:$K$345,7,FALSE)),IF(VLOOKUP(H$6&amp;$C41,'◆（運営）③結果入力'!$D$16:$K$345,5,FALSE)="","",VLOOKUP(H$6&amp;$C41,'◆（運営）③結果入力'!$D$16:$K$345,5,FALSE)))</f>
      </c>
      <c r="AD41" s="343">
        <f>IF(ISERROR(VLOOKUP(I$6&amp;$C41,'◆（運営）③結果入力'!$D$16:$K$345,5,FALSE)),IF(VLOOKUP(I$6&amp;$C41,'◆（運営）③結果入力'!$E$16:$K$345,7,FALSE)="","",VLOOKUP(I$6&amp;$C41,'◆（運営）③結果入力'!$E$16:$K$345,7,FALSE)),IF(VLOOKUP(I$6&amp;$C41,'◆（運営）③結果入力'!$D$16:$K$345,5,FALSE)="","",VLOOKUP(I$6&amp;$C41,'◆（運営）③結果入力'!$D$16:$K$345,5,FALSE)))</f>
      </c>
      <c r="AE41" s="343">
        <f>IF(ISERROR(VLOOKUP(J$6&amp;$C41,'◆（運営）③結果入力'!$D$16:$K$345,5,FALSE)),IF(VLOOKUP(J$6&amp;$C41,'◆（運営）③結果入力'!$E$16:$K$345,7,FALSE)="","",VLOOKUP(J$6&amp;$C41,'◆（運営）③結果入力'!$E$16:$K$345,7,FALSE)),IF(VLOOKUP(J$6&amp;$C41,'◆（運営）③結果入力'!$D$16:$K$345,5,FALSE)="","",VLOOKUP(J$6&amp;$C41,'◆（運営）③結果入力'!$D$16:$K$345,5,FALSE)))</f>
      </c>
      <c r="AF41" s="343">
        <f>IF(ISERROR(VLOOKUP(K$6&amp;$C41,'◆（運営）③結果入力'!$D$16:$K$345,5,FALSE)),IF(VLOOKUP(K$6&amp;$C41,'◆（運営）③結果入力'!$E$16:$K$345,7,FALSE)="","",VLOOKUP(K$6&amp;$C41,'◆（運営）③結果入力'!$E$16:$K$345,7,FALSE)),IF(VLOOKUP(K$6&amp;$C41,'◆（運営）③結果入力'!$D$16:$K$345,5,FALSE)="","",VLOOKUP(K$6&amp;$C41,'◆（運営）③結果入力'!$D$16:$K$345,5,FALSE)))</f>
      </c>
      <c r="AG41" s="343">
        <f>IF(ISERROR(VLOOKUP(L$6&amp;$C41,'◆（運営）③結果入力'!$D$16:$K$345,5,FALSE)),IF(VLOOKUP(L$6&amp;$C41,'◆（運営）③結果入力'!$E$16:$K$345,7,FALSE)="","",VLOOKUP(L$6&amp;$C41,'◆（運営）③結果入力'!$E$16:$K$345,7,FALSE)),IF(VLOOKUP(L$6&amp;$C41,'◆（運営）③結果入力'!$D$16:$K$345,5,FALSE)="","",VLOOKUP(L$6&amp;$C41,'◆（運営）③結果入力'!$D$16:$K$345,5,FALSE)))</f>
      </c>
      <c r="AH41" s="343">
        <f>IF(ISERROR(VLOOKUP(M$6&amp;$C41,'◆（運営）③結果入力'!$D$16:$K$345,5,FALSE)),IF(VLOOKUP(M$6&amp;$C41,'◆（運営）③結果入力'!$E$16:$K$345,7,FALSE)="","",VLOOKUP(M$6&amp;$C41,'◆（運営）③結果入力'!$E$16:$K$345,7,FALSE)),IF(VLOOKUP(M$6&amp;$C41,'◆（運営）③結果入力'!$D$16:$K$345,5,FALSE)="","",VLOOKUP(M$6&amp;$C41,'◆（運営）③結果入力'!$D$16:$K$345,5,FALSE)))</f>
      </c>
      <c r="AI41" s="386"/>
      <c r="AJ41" s="343">
        <f>IF(O32="","",IF(ISERROR(VLOOKUP(O$6&amp;$C41,'◆（運営）③結果入力'!$D$16:$K$345,5,FALSE)),IF(VLOOKUP(O$6&amp;$C41,'◆（運営）③結果入力'!$E$16:$K$345,7,FALSE)="","",VLOOKUP(O$6&amp;$C41,'◆（運営）③結果入力'!$E$16:$K$345,7,FALSE)),IF(VLOOKUP(O$6&amp;$C41,'◆（運営）③結果入力'!$D$16:$K$345,5,FALSE)="","",VLOOKUP(O$6&amp;$C41,'◆（運営）③結果入力'!$D$16:$K$345,5,FALSE))))</f>
        <v>120</v>
      </c>
      <c r="AK41" s="343"/>
      <c r="AL41" s="344"/>
      <c r="AM41" s="345">
        <f t="shared" si="41"/>
        <v>120</v>
      </c>
      <c r="AO41" s="335">
        <f t="shared" si="42"/>
        <v>0</v>
      </c>
      <c r="AP41" s="335">
        <f t="shared" si="43"/>
        <v>0</v>
      </c>
      <c r="AQ41" s="335">
        <f t="shared" si="44"/>
        <v>120</v>
      </c>
      <c r="AR41" s="335">
        <f t="shared" si="45"/>
        <v>120</v>
      </c>
      <c r="AS41" s="335">
        <f t="shared" si="46"/>
        <v>8</v>
      </c>
    </row>
    <row r="42" spans="1:45" ht="12.75" customHeight="1">
      <c r="A42" s="274">
        <v>10</v>
      </c>
      <c r="B42" s="321" t="str">
        <f t="shared" si="31"/>
        <v>大阪B</v>
      </c>
      <c r="C42" s="322" t="str">
        <f>IF(B42="","",VLOOKUP(B42,'ブロック表'!$C$4:$N$15,7,FALSE))</f>
        <v>野村 宗司</v>
      </c>
      <c r="D42" s="323"/>
      <c r="E42" s="324"/>
      <c r="F42" s="325" t="str">
        <f>IF(C42="","",IF(ISERROR(VLOOKUP(F$6&amp;$C42,'◆（運営）③結果入力'!$D$16:$I$345,6,FALSE)),IF(VLOOKUP(F$6&amp;$C42,'◆（運営）③結果入力'!$E$16:$J$345,6,FALSE)="","",VLOOKUP(F$6&amp;$C42,'◆（運営）③結果入力'!$E$16:$J$345,6,FALSE)),IF(VLOOKUP(F$6&amp;$C42,'◆（運営）③結果入力'!$D$16:$I$345,6,FALSE)="","",VLOOKUP(F$6&amp;$C42,'◆（運営）③結果入力'!$D$16:$I$345,6,FALSE))))</f>
        <v>W</v>
      </c>
      <c r="G42" s="327">
        <f>IF(C42="","",IF(ISERROR(VLOOKUP(G$6&amp;$C42,'◆（運営）③結果入力'!$D$16:$I$345,6,FALSE)),IF(VLOOKUP(G$6&amp;$C42,'◆（運営）③結果入力'!$E$16:$J$345,6,FALSE)="","",VLOOKUP(G$6&amp;$C42,'◆（運営）③結果入力'!$E$16:$J$345,6,FALSE)),IF(VLOOKUP(G$6&amp;$C42,'◆（運営）③結果入力'!$D$16:$I$345,6,FALSE)="","",VLOOKUP(G$6&amp;$C42,'◆（運営）③結果入力'!$D$16:$I$345,6,FALSE))))</f>
        <v>105</v>
      </c>
      <c r="H42" s="327" t="str">
        <f>IF(C42="","",IF(ISERROR(VLOOKUP(H$6&amp;$C42,'◆（運営）③結果入力'!$D$16:$I$345,6,FALSE)),IF(VLOOKUP(H$6&amp;$C42,'◆（運営）③結果入力'!$E$16:$J$345,6,FALSE)="","",VLOOKUP(H$6&amp;$C42,'◆（運営）③結果入力'!$E$16:$J$345,6,FALSE)),IF(VLOOKUP(H$6&amp;$C42,'◆（運営）③結果入力'!$D$16:$I$345,6,FALSE)="","",VLOOKUP(H$6&amp;$C42,'◆（運営）③結果入力'!$D$16:$I$345,6,FALSE))))</f>
        <v>W</v>
      </c>
      <c r="I42" s="327">
        <f>IF(C42="","",IF(ISERROR(VLOOKUP(I$6&amp;$C42,'◆（運営）③結果入力'!$D$16:$I$345,6,FALSE)),IF(VLOOKUP(I$6&amp;$C42,'◆（運営）③結果入力'!$E$16:$J$345,6,FALSE)="","",VLOOKUP(I$6&amp;$C42,'◆（運営）③結果入力'!$E$16:$J$345,6,FALSE)),IF(VLOOKUP(I$6&amp;$C42,'◆（運営）③結果入力'!$D$16:$I$345,6,FALSE)="","",VLOOKUP(I$6&amp;$C42,'◆（運営）③結果入力'!$D$16:$I$345,6,FALSE))))</f>
        <v>26</v>
      </c>
      <c r="J42" s="327">
        <f>IF(C42="","",IF(ISERROR(VLOOKUP(J$6&amp;$C42,'◆（運営）③結果入力'!$D$16:$I$345,6,FALSE)),IF(VLOOKUP(J$6&amp;$C42,'◆（運営）③結果入力'!$E$16:$J$345,6,FALSE)="","",VLOOKUP(J$6&amp;$C42,'◆（運営）③結果入力'!$E$16:$J$345,6,FALSE)),IF(VLOOKUP(J$6&amp;$C42,'◆（運営）③結果入力'!$D$16:$I$345,6,FALSE)="","",VLOOKUP(J$6&amp;$C42,'◆（運営）③結果入力'!$D$16:$I$345,6,FALSE))))</f>
        <v>13</v>
      </c>
      <c r="K42" s="327">
        <f>IF(C42="","",IF(ISERROR(VLOOKUP(K$6&amp;$C42,'◆（運営）③結果入力'!$D$16:$I$345,6,FALSE)),IF(VLOOKUP(K$6&amp;$C42,'◆（運営）③結果入力'!$E$16:$J$345,6,FALSE)="","",VLOOKUP(K$6&amp;$C42,'◆（運営）③結果入力'!$E$16:$J$345,6,FALSE)),IF(VLOOKUP(K$6&amp;$C42,'◆（運営）③結果入力'!$D$16:$I$345,6,FALSE)="","",VLOOKUP(K$6&amp;$C42,'◆（運営）③結果入力'!$D$16:$I$345,6,FALSE))))</f>
        <v>0</v>
      </c>
      <c r="L42" s="327">
        <f>IF(C42="","",IF(ISERROR(VLOOKUP(L$6&amp;$C42,'◆（運営）③結果入力'!$D$16:$I$345,6,FALSE)),IF(VLOOKUP(L$6&amp;$C42,'◆（運営）③結果入力'!$E$16:$J$345,6,FALSE)="","",VLOOKUP(L$6&amp;$C42,'◆（運営）③結果入力'!$E$16:$J$345,6,FALSE)),IF(VLOOKUP(L$6&amp;$C42,'◆（運営）③結果入力'!$D$16:$I$345,6,FALSE)="","",VLOOKUP(L$6&amp;$C42,'◆（運営）③結果入力'!$D$16:$I$345,6,FALSE))))</f>
        <v>96</v>
      </c>
      <c r="M42" s="327" t="str">
        <f>IF(C42="","",IF(ISERROR(VLOOKUP(M$6&amp;$C42,'◆（運営）③結果入力'!$D$16:$I$345,6,FALSE)),IF(VLOOKUP(M$6&amp;$C42,'◆（運営）③結果入力'!$E$16:$J$345,6,FALSE)="","",VLOOKUP(M$6&amp;$C42,'◆（運営）③結果入力'!$E$16:$J$345,6,FALSE)),IF(VLOOKUP(M$6&amp;$C42,'◆（運営）③結果入力'!$D$16:$I$345,6,FALSE)="","",VLOOKUP(M$6&amp;$C42,'◆（運営）③結果入力'!$D$16:$I$345,6,FALSE))))</f>
        <v>W</v>
      </c>
      <c r="N42" s="327">
        <f>IF(C42="","",IF(ISERROR(VLOOKUP(N$6&amp;$C42,'◆（運営）③結果入力'!$D$16:$I$345,6,FALSE)),IF(VLOOKUP(N$6&amp;$C42,'◆（運営）③結果入力'!$E$16:$J$345,6,FALSE)="","",VLOOKUP(N$6&amp;$C42,'◆（運営）③結果入力'!$E$16:$J$345,6,FALSE)),IF(VLOOKUP(N$6&amp;$C42,'◆（運営）③結果入力'!$D$16:$I$345,6,FALSE)="","",VLOOKUP(N$6&amp;$C42,'◆（運営）③結果入力'!$D$16:$I$345,6,FALSE))))</f>
        <v>0</v>
      </c>
      <c r="O42" s="384"/>
      <c r="P42" s="346">
        <f t="shared" si="32"/>
        <v>3</v>
      </c>
      <c r="Q42" s="326">
        <f t="shared" si="33"/>
        <v>6</v>
      </c>
      <c r="R42" s="347">
        <f t="shared" si="34"/>
        <v>600</v>
      </c>
      <c r="S42" s="347">
        <f>IF(COUNTBLANK(F42:O42)=10,"",SUM(O33:O42)+(Q42*120))</f>
        <v>849</v>
      </c>
      <c r="T42" s="314">
        <f t="shared" si="35"/>
        <v>8</v>
      </c>
      <c r="U42" s="348">
        <f t="shared" si="36"/>
        <v>9</v>
      </c>
      <c r="V42" s="348">
        <f t="shared" si="37"/>
        <v>0</v>
      </c>
      <c r="W42" s="348">
        <f t="shared" si="38"/>
        <v>305999151</v>
      </c>
      <c r="X42" s="348">
        <f>IF(W42=0,"",IF(W42=MAX($W$16,$W$29,$W$42,$W$55,$W$68),1,""))</f>
      </c>
      <c r="Y42" s="348" t="str">
        <f t="shared" si="39"/>
        <v>大阪B</v>
      </c>
      <c r="Z42" s="348" t="str">
        <f t="shared" si="40"/>
        <v>野村 宗司</v>
      </c>
      <c r="AA42" s="349">
        <f>IF(C42="","",IF(ISERROR(VLOOKUP(F$6&amp;$C42,'◆（運営）③結果入力'!$D$16:$K$345,5,FALSE)),IF(VLOOKUP(F$6&amp;$C42,'◆（運営）③結果入力'!$E$16:$K$345,7,FALSE)="","",VLOOKUP(F$6&amp;$C42,'◆（運営）③結果入力'!$E$16:$K$345,7,FALSE)),IF(VLOOKUP(F$6&amp;$C42,'◆（運営）③結果入力'!$D$16:$K$345,5,FALSE)="","",VLOOKUP(F$6&amp;$C42,'◆（運営）③結果入力'!$D$16:$K$345,5,FALSE))))</f>
      </c>
      <c r="AB42" s="350">
        <f>IF(C42="","",IF(ISERROR(VLOOKUP(G$6&amp;$C42,'◆（運営）③結果入力'!$D$16:$K$345,5,FALSE)),IF(VLOOKUP(G$6&amp;$C42,'◆（運営）③結果入力'!$E$16:$K$345,7,FALSE)="","",VLOOKUP(G$6&amp;$C42,'◆（運営）③結果入力'!$E$16:$K$345,7,FALSE)),IF(VLOOKUP(G$6&amp;$C42,'◆（運営）③結果入力'!$D$16:$K$345,5,FALSE)="","",VLOOKUP(G$6&amp;$C42,'◆（運営）③結果入力'!$D$16:$K$345,5,FALSE))))</f>
      </c>
      <c r="AC42" s="350">
        <f>IF(C42="","",IF(ISERROR(VLOOKUP(H$6&amp;$C42,'◆（運営）③結果入力'!$D$16:$K$345,5,FALSE)),IF(VLOOKUP(H$6&amp;$C42,'◆（運営）③結果入力'!$E$16:$K$345,7,FALSE)="","",VLOOKUP(H$6&amp;$C42,'◆（運営）③結果入力'!$E$16:$K$345,7,FALSE)),IF(VLOOKUP(H$6&amp;$C42,'◆（運営）③結果入力'!$D$16:$K$345,5,FALSE)="","",VLOOKUP(H$6&amp;$C42,'◆（運営）③結果入力'!$D$16:$K$345,5,FALSE))))</f>
      </c>
      <c r="AD42" s="350">
        <f>IF(C42="","",IF(ISERROR(VLOOKUP(I$6&amp;$C42,'◆（運営）③結果入力'!$D$16:$K$345,5,FALSE)),IF(VLOOKUP(I$6&amp;$C42,'◆（運営）③結果入力'!$E$16:$K$345,7,FALSE)="","",VLOOKUP(I$6&amp;$C42,'◆（運営）③結果入力'!$E$16:$K$345,7,FALSE)),IF(VLOOKUP(I$6&amp;$C42,'◆（運営）③結果入力'!$D$16:$K$345,5,FALSE)="","",VLOOKUP(I$6&amp;$C42,'◆（運営）③結果入力'!$D$16:$K$345,5,FALSE))))</f>
      </c>
      <c r="AE42" s="350">
        <f>IF(C42="","",IF(ISERROR(VLOOKUP(J$6&amp;$C42,'◆（運営）③結果入力'!$D$16:$K$345,5,FALSE)),IF(VLOOKUP(J$6&amp;$C42,'◆（運営）③結果入力'!$E$16:$K$345,7,FALSE)="","",VLOOKUP(J$6&amp;$C42,'◆（運営）③結果入力'!$E$16:$K$345,7,FALSE)),IF(VLOOKUP(J$6&amp;$C42,'◆（運営）③結果入力'!$D$16:$K$345,5,FALSE)="","",VLOOKUP(J$6&amp;$C42,'◆（運営）③結果入力'!$D$16:$K$345,5,FALSE))))</f>
      </c>
      <c r="AF42" s="350">
        <f>IF(C42="","",IF(ISERROR(VLOOKUP(K$6&amp;$C42,'◆（運営）③結果入力'!$D$16:$K$345,5,FALSE)),IF(VLOOKUP(K$6&amp;$C42,'◆（運営）③結果入力'!$E$16:$K$345,7,FALSE)="","",VLOOKUP(K$6&amp;$C42,'◆（運営）③結果入力'!$E$16:$K$345,7,FALSE)),IF(VLOOKUP(K$6&amp;$C42,'◆（運営）③結果入力'!$D$16:$K$345,5,FALSE)="","",VLOOKUP(K$6&amp;$C42,'◆（運営）③結果入力'!$D$16:$K$345,5,FALSE))))</f>
      </c>
      <c r="AG42" s="350">
        <f>IF(C42="","",IF(ISERROR(VLOOKUP(L$6&amp;$C42,'◆（運営）③結果入力'!$D$16:$K$345,5,FALSE)),IF(VLOOKUP(L$6&amp;$C42,'◆（運営）③結果入力'!$E$16:$K$345,7,FALSE)="","",VLOOKUP(L$6&amp;$C42,'◆（運営）③結果入力'!$E$16:$K$345,7,FALSE)),IF(VLOOKUP(L$6&amp;$C42,'◆（運営）③結果入力'!$D$16:$K$345,5,FALSE)="","",VLOOKUP(L$6&amp;$C42,'◆（運営）③結果入力'!$D$16:$K$345,5,FALSE))))</f>
      </c>
      <c r="AH42" s="350">
        <f>IF(C42="","",IF(ISERROR(VLOOKUP(M$6&amp;$C42,'◆（運営）③結果入力'!$D$16:$K$345,5,FALSE)),IF(VLOOKUP(M$6&amp;$C42,'◆（運営）③結果入力'!$E$16:$K$345,7,FALSE)="","",VLOOKUP(M$6&amp;$C42,'◆（運営）③結果入力'!$E$16:$K$345,7,FALSE)),IF(VLOOKUP(M$6&amp;$C42,'◆（運営）③結果入力'!$D$16:$K$345,5,FALSE)="","",VLOOKUP(M$6&amp;$C42,'◆（運営）③結果入力'!$D$16:$K$345,5,FALSE))))</f>
      </c>
      <c r="AI42" s="350">
        <f>IF(C42="","",IF(ISERROR(VLOOKUP(N$6&amp;$C42,'◆（運営）③結果入力'!$D$16:$K$345,5,FALSE)),IF(VLOOKUP(N$6&amp;$C42,'◆（運営）③結果入力'!$E$16:$K$345,7,FALSE)="","",VLOOKUP(N$6&amp;$C42,'◆（運営）③結果入力'!$E$16:$K$345,7,FALSE)),IF(VLOOKUP(N$6&amp;$C42,'◆（運営）③結果入力'!$D$16:$K$345,5,FALSE)="","",VLOOKUP(N$6&amp;$C42,'◆（運営）③結果入力'!$D$16:$K$345,5,FALSE))))</f>
      </c>
      <c r="AJ42" s="387"/>
      <c r="AK42" s="350"/>
      <c r="AL42" s="351"/>
      <c r="AM42" s="352">
        <f t="shared" si="41"/>
      </c>
      <c r="AO42" s="335">
        <f t="shared" si="42"/>
        <v>0</v>
      </c>
      <c r="AP42" s="335">
        <f t="shared" si="43"/>
        <v>0</v>
      </c>
      <c r="AQ42" s="335">
        <f t="shared" si="44"/>
        <v>0</v>
      </c>
      <c r="AR42" s="335">
        <f t="shared" si="45"/>
        <v>0</v>
      </c>
      <c r="AS42" s="335">
        <f t="shared" si="46"/>
        <v>17</v>
      </c>
    </row>
    <row r="44" spans="3:15" ht="12.75" customHeight="1">
      <c r="C44" s="274">
        <f>C5+3</f>
        <v>4</v>
      </c>
      <c r="D44" s="274" t="str">
        <f>D5</f>
        <v>組</v>
      </c>
      <c r="F44" s="30">
        <v>1</v>
      </c>
      <c r="G44" s="30">
        <v>2</v>
      </c>
      <c r="H44" s="30">
        <v>3</v>
      </c>
      <c r="I44" s="30">
        <v>4</v>
      </c>
      <c r="J44" s="30">
        <v>5</v>
      </c>
      <c r="K44" s="30">
        <v>6</v>
      </c>
      <c r="L44" s="30">
        <v>7</v>
      </c>
      <c r="M44" s="30">
        <v>8</v>
      </c>
      <c r="N44" s="30">
        <v>9</v>
      </c>
      <c r="O44" s="30">
        <v>10</v>
      </c>
    </row>
    <row r="45" spans="2:45" ht="50.25" customHeight="1">
      <c r="B45" s="280" t="s">
        <v>229</v>
      </c>
      <c r="C45" s="281" t="s">
        <v>74</v>
      </c>
      <c r="D45" s="282"/>
      <c r="E45" s="283"/>
      <c r="F45" s="284" t="str">
        <f>B46</f>
        <v>兵庫</v>
      </c>
      <c r="G45" s="285" t="str">
        <f>B47</f>
        <v>愛知</v>
      </c>
      <c r="H45" s="285" t="str">
        <f>B48</f>
        <v>京都</v>
      </c>
      <c r="I45" s="285" t="str">
        <f>B49</f>
        <v>大阪A</v>
      </c>
      <c r="J45" s="285" t="str">
        <f>B50</f>
        <v>和歌山</v>
      </c>
      <c r="K45" s="285" t="str">
        <f>B51</f>
        <v>滋賀</v>
      </c>
      <c r="L45" s="285" t="str">
        <f>B52</f>
        <v>奈良</v>
      </c>
      <c r="M45" s="285" t="str">
        <f>B53</f>
        <v>三重</v>
      </c>
      <c r="N45" s="285" t="str">
        <f>B54:B54</f>
        <v>岐阜</v>
      </c>
      <c r="O45" s="285" t="str">
        <f>B55</f>
        <v>大阪B</v>
      </c>
      <c r="P45" s="286" t="s">
        <v>230</v>
      </c>
      <c r="Q45" s="287" t="s">
        <v>231</v>
      </c>
      <c r="R45" s="287" t="s">
        <v>232</v>
      </c>
      <c r="S45" s="287" t="s">
        <v>233</v>
      </c>
      <c r="T45" s="328" t="s">
        <v>234</v>
      </c>
      <c r="U45" s="329" t="s">
        <v>235</v>
      </c>
      <c r="V45" s="329" t="s">
        <v>236</v>
      </c>
      <c r="W45" s="330" t="s">
        <v>237</v>
      </c>
      <c r="X45" s="331"/>
      <c r="Y45" s="331"/>
      <c r="Z45" s="331"/>
      <c r="AA45" s="405" t="s">
        <v>45</v>
      </c>
      <c r="AB45" s="406"/>
      <c r="AC45" s="406"/>
      <c r="AD45" s="406"/>
      <c r="AE45" s="406"/>
      <c r="AF45" s="406"/>
      <c r="AG45" s="406"/>
      <c r="AH45" s="406"/>
      <c r="AI45" s="406"/>
      <c r="AJ45" s="406"/>
      <c r="AK45" s="406"/>
      <c r="AL45" s="407"/>
      <c r="AM45" s="332" t="s">
        <v>238</v>
      </c>
      <c r="AO45" s="333" t="s">
        <v>239</v>
      </c>
      <c r="AP45" s="333" t="s">
        <v>240</v>
      </c>
      <c r="AQ45" s="333" t="s">
        <v>241</v>
      </c>
      <c r="AR45" s="334" t="s">
        <v>242</v>
      </c>
      <c r="AS45" s="335" t="s">
        <v>243</v>
      </c>
    </row>
    <row r="46" spans="1:45" ht="12.75" customHeight="1">
      <c r="A46" s="274">
        <v>1</v>
      </c>
      <c r="B46" s="292" t="str">
        <f aca="true" t="shared" si="47" ref="B46:B55">B7</f>
        <v>兵庫</v>
      </c>
      <c r="C46" s="293" t="str">
        <f>IF(B46="","",VLOOKUP(B46,'ブロック表'!$C$4:$N$15,9,FALSE))</f>
        <v>白澤 雄一郎</v>
      </c>
      <c r="D46" s="294"/>
      <c r="E46" s="295"/>
      <c r="F46" s="382"/>
      <c r="G46" s="297">
        <f>IF(ISERROR(VLOOKUP(G$6&amp;$C46,'◆（運営）③結果入力'!$D$16:$I$345,6,FALSE)),IF(VLOOKUP(G$6&amp;$C46,'◆（運営）③結果入力'!$E$16:$J$345,6,FALSE)="","",VLOOKUP(G$6&amp;$C46,'◆（運営）③結果入力'!$E$16:$J$345,6,FALSE)),IF(VLOOKUP(G$6&amp;$C46,'◆（運営）③結果入力'!$D$16:$I$345,6,FALSE)="","",VLOOKUP(G$6&amp;$C46,'◆（運営）③結果入力'!$D$16:$I$345,6,FALSE)))</f>
        <v>89</v>
      </c>
      <c r="H46" s="297" t="str">
        <f>IF(ISERROR(VLOOKUP(H$6&amp;$C46,'◆（運営）③結果入力'!$D$16:$I$345,6,FALSE)),IF(VLOOKUP(H$6&amp;$C46,'◆（運営）③結果入力'!$E$16:$J$345,6,FALSE)="","",VLOOKUP(H$6&amp;$C46,'◆（運営）③結果入力'!$E$16:$J$345,6,FALSE)),IF(VLOOKUP(H$6&amp;$C46,'◆（運営）③結果入力'!$D$16:$I$345,6,FALSE)="","",VLOOKUP(H$6&amp;$C46,'◆（運営）③結果入力'!$D$16:$I$345,6,FALSE)))</f>
        <v>W</v>
      </c>
      <c r="I46" s="297">
        <f>IF(ISERROR(VLOOKUP(I$6&amp;$C46,'◆（運営）③結果入力'!$D$16:$I$345,6,FALSE)),IF(VLOOKUP(I$6&amp;$C46,'◆（運営）③結果入力'!$E$16:$J$345,6,FALSE)="","",VLOOKUP(I$6&amp;$C46,'◆（運営）③結果入力'!$E$16:$J$345,6,FALSE)),IF(VLOOKUP(I$6&amp;$C46,'◆（運営）③結果入力'!$D$16:$I$345,6,FALSE)="","",VLOOKUP(I$6&amp;$C46,'◆（運営）③結果入力'!$D$16:$I$345,6,FALSE)))</f>
        <v>64</v>
      </c>
      <c r="J46" s="297" t="str">
        <f>IF(ISERROR(VLOOKUP(J$6&amp;$C46,'◆（運営）③結果入力'!$D$16:$I$345,6,FALSE)),IF(VLOOKUP(J$6&amp;$C46,'◆（運営）③結果入力'!$E$16:$J$345,6,FALSE)="","",VLOOKUP(J$6&amp;$C46,'◆（運営）③結果入力'!$E$16:$J$345,6,FALSE)),IF(VLOOKUP(J$6&amp;$C46,'◆（運営）③結果入力'!$D$16:$I$345,6,FALSE)="","",VLOOKUP(J$6&amp;$C46,'◆（運営）③結果入力'!$D$16:$I$345,6,FALSE)))</f>
        <v>W</v>
      </c>
      <c r="K46" s="297">
        <f>IF(ISERROR(VLOOKUP(K$6&amp;$C46,'◆（運営）③結果入力'!$D$16:$I$345,6,FALSE)),IF(VLOOKUP(K$6&amp;$C46,'◆（運営）③結果入力'!$E$16:$J$345,6,FALSE)="","",VLOOKUP(K$6&amp;$C46,'◆（運営）③結果入力'!$E$16:$J$345,6,FALSE)),IF(VLOOKUP(K$6&amp;$C46,'◆（運営）③結果入力'!$D$16:$I$345,6,FALSE)="","",VLOOKUP(K$6&amp;$C46,'◆（運営）③結果入力'!$D$16:$I$345,6,FALSE)))</f>
        <v>17</v>
      </c>
      <c r="L46" s="297" t="str">
        <f>IF(ISERROR(VLOOKUP(L$6&amp;$C46,'◆（運営）③結果入力'!$D$16:$I$345,6,FALSE)),IF(VLOOKUP(L$6&amp;$C46,'◆（運営）③結果入力'!$E$16:$J$345,6,FALSE)="","",VLOOKUP(L$6&amp;$C46,'◆（運営）③結果入力'!$E$16:$J$345,6,FALSE)),IF(VLOOKUP(L$6&amp;$C46,'◆（運営）③結果入力'!$D$16:$I$345,6,FALSE)="","",VLOOKUP(L$6&amp;$C46,'◆（運営）③結果入力'!$D$16:$I$345,6,FALSE)))</f>
        <v>W</v>
      </c>
      <c r="M46" s="297">
        <f>IF(ISERROR(VLOOKUP(M$6&amp;$C46,'◆（運営）③結果入力'!$D$16:$I$345,6,FALSE)),IF(VLOOKUP(M$6&amp;$C46,'◆（運営）③結果入力'!$E$16:$J$345,6,FALSE)="","",VLOOKUP(M$6&amp;$C46,'◆（運営）③結果入力'!$E$16:$J$345,6,FALSE)),IF(VLOOKUP(M$6&amp;$C46,'◆（運営）③結果入力'!$D$16:$I$345,6,FALSE)="","",VLOOKUP(M$6&amp;$C46,'◆（運営）③結果入力'!$D$16:$I$345,6,FALSE)))</f>
        <v>113</v>
      </c>
      <c r="N46" s="297" t="str">
        <f>IF(ISERROR(VLOOKUP(N$6&amp;$C46,'◆（運営）③結果入力'!$D$16:$I$345,6,FALSE)),IF(VLOOKUP(N$6&amp;$C46,'◆（運営）③結果入力'!$E$16:$J$345,6,FALSE)="","",VLOOKUP(N$6&amp;$C46,'◆（運営）③結果入力'!$E$16:$J$345,6,FALSE)),IF(VLOOKUP(N$6&amp;$C46,'◆（運営）③結果入力'!$D$16:$I$345,6,FALSE)="","",VLOOKUP(N$6&amp;$C46,'◆（運営）③結果入力'!$D$16:$I$345,6,FALSE)))</f>
        <v>W</v>
      </c>
      <c r="O46" s="297" t="str">
        <f>IF(O45="","",IF(ISERROR(VLOOKUP(O$6&amp;$C46,'◆（運営）③結果入力'!$D$16:$I$345,6,FALSE)),IF(VLOOKUP(O$6&amp;$C46,'◆（運営）③結果入力'!$E$16:$J$345,6,FALSE)="","",VLOOKUP(O$6&amp;$C46,'◆（運営）③結果入力'!$E$16:$J$345,6,FALSE)),IF(VLOOKUP(O$6&amp;$C46,'◆（運営）③結果入力'!$D$16:$I$345,6,FALSE)="","",VLOOKUP(O$6&amp;$C46,'◆（運営）③結果入力'!$D$16:$I$345,6,FALSE))))</f>
        <v>W</v>
      </c>
      <c r="P46" s="298">
        <f aca="true" t="shared" si="48" ref="P46:P55">IF(COUNTBLANK(F46:O46)=10,"",COUNTIF(F46:O46,"W"))</f>
        <v>5</v>
      </c>
      <c r="Q46" s="299">
        <f aca="true" t="shared" si="49" ref="Q46:Q55">IF(COUNTBLANK(F46:O46)=10,"",COUNT(F46:O46))</f>
        <v>4</v>
      </c>
      <c r="R46" s="300">
        <f aca="true" t="shared" si="50" ref="R46:R55">IF(COUNTBLANK(F46:O46)=10,"",SUM(F46:O46)+(P46*120))</f>
        <v>883</v>
      </c>
      <c r="S46" s="300">
        <f>IF(COUNTBLANK(F46:O46)=10,"",SUM(F46:F55)+(Q46*120))</f>
        <v>670</v>
      </c>
      <c r="T46" s="336">
        <f aca="true" t="shared" si="51" ref="T46:T55">IF(COUNTBLANK(F46:O46)=10,"",IF(P46+Q46=0,"",RANK(W46,$W$46:$W$55,0)))</f>
        <v>4</v>
      </c>
      <c r="U46" s="276">
        <f aca="true" t="shared" si="52" ref="U46:U55">COUNTA($F$6:$O$6)-1-V46</f>
        <v>9</v>
      </c>
      <c r="V46" s="276">
        <f aca="true" t="shared" si="53" ref="V46:V55">COUNTBLANK(F46:O46)-1</f>
        <v>0</v>
      </c>
      <c r="W46" s="276">
        <f aca="true" t="shared" si="54" ref="W46:W55">IF(P46="",0,P46*100000000+R46*10000-S46)</f>
        <v>508829330</v>
      </c>
      <c r="X46" s="276">
        <f>IF(W46=0,"",IF(W46=MAX($W$7,$W$20,$W$33,$W$46,$W$59),1,""))</f>
      </c>
      <c r="Y46" s="276" t="str">
        <f aca="true" t="shared" si="55" ref="Y46:Y55">X46&amp;B46</f>
        <v>兵庫</v>
      </c>
      <c r="Z46" s="276" t="str">
        <f aca="true" t="shared" si="56" ref="Z46:Z55">C46</f>
        <v>白澤 雄一郎</v>
      </c>
      <c r="AA46" s="385"/>
      <c r="AB46" s="337">
        <f>IF(ISERROR(VLOOKUP(G$6&amp;$C46,'◆（運営）③結果入力'!$D$16:$K$345,5,FALSE)),IF(VLOOKUP(G$6&amp;$C46,'◆（運営）③結果入力'!$E$16:$K$345,7,FALSE)="","",VLOOKUP(G$6&amp;$C46,'◆（運営）③結果入力'!$E$16:$K$345,7,FALSE)),IF(VLOOKUP(G$6&amp;$C46,'◆（運営）③結果入力'!$D$16:$K$345,5,FALSE)="","",VLOOKUP(G$6&amp;$C46,'◆（運営）③結果入力'!$D$16:$K$345,5,FALSE)))</f>
      </c>
      <c r="AC46" s="337">
        <f>IF(ISERROR(VLOOKUP(H$6&amp;$C46,'◆（運営）③結果入力'!$D$16:$K$345,5,FALSE)),IF(VLOOKUP(H$6&amp;$C46,'◆（運営）③結果入力'!$E$16:$K$345,7,FALSE)="","",VLOOKUP(H$6&amp;$C46,'◆（運営）③結果入力'!$E$16:$K$345,7,FALSE)),IF(VLOOKUP(H$6&amp;$C46,'◆（運営）③結果入力'!$D$16:$K$345,5,FALSE)="","",VLOOKUP(H$6&amp;$C46,'◆（運営）③結果入力'!$D$16:$K$345,5,FALSE)))</f>
      </c>
      <c r="AD46" s="337">
        <f>IF(ISERROR(VLOOKUP(I$6&amp;$C46,'◆（運営）③結果入力'!$D$16:$K$345,5,FALSE)),IF(VLOOKUP(I$6&amp;$C46,'◆（運営）③結果入力'!$E$16:$K$345,7,FALSE)="","",VLOOKUP(I$6&amp;$C46,'◆（運営）③結果入力'!$E$16:$K$345,7,FALSE)),IF(VLOOKUP(I$6&amp;$C46,'◆（運営）③結果入力'!$D$16:$K$345,5,FALSE)="","",VLOOKUP(I$6&amp;$C46,'◆（運営）③結果入力'!$D$16:$K$345,5,FALSE)))</f>
      </c>
      <c r="AE46" s="337">
        <f>IF(ISERROR(VLOOKUP(J$6&amp;$C46,'◆（運営）③結果入力'!$D$16:$K$345,5,FALSE)),IF(VLOOKUP(J$6&amp;$C46,'◆（運営）③結果入力'!$E$16:$K$345,7,FALSE)="","",VLOOKUP(J$6&amp;$C46,'◆（運営）③結果入力'!$E$16:$K$345,7,FALSE)),IF(VLOOKUP(J$6&amp;$C46,'◆（運営）③結果入力'!$D$16:$K$345,5,FALSE)="","",VLOOKUP(J$6&amp;$C46,'◆（運営）③結果入力'!$D$16:$K$345,5,FALSE)))</f>
      </c>
      <c r="AF46" s="337">
        <f>IF(ISERROR(VLOOKUP(K$6&amp;$C46,'◆（運営）③結果入力'!$D$16:$K$345,5,FALSE)),IF(VLOOKUP(K$6&amp;$C46,'◆（運営）③結果入力'!$E$16:$K$345,7,FALSE)="","",VLOOKUP(K$6&amp;$C46,'◆（運営）③結果入力'!$E$16:$K$345,7,FALSE)),IF(VLOOKUP(K$6&amp;$C46,'◆（運営）③結果入力'!$D$16:$K$345,5,FALSE)="","",VLOOKUP(K$6&amp;$C46,'◆（運営）③結果入力'!$D$16:$K$345,5,FALSE)))</f>
      </c>
      <c r="AG46" s="337">
        <f>IF(ISERROR(VLOOKUP(L$6&amp;$C46,'◆（運営）③結果入力'!$D$16:$K$345,5,FALSE)),IF(VLOOKUP(L$6&amp;$C46,'◆（運営）③結果入力'!$E$16:$K$345,7,FALSE)="","",VLOOKUP(L$6&amp;$C46,'◆（運営）③結果入力'!$E$16:$K$345,7,FALSE)),IF(VLOOKUP(L$6&amp;$C46,'◆（運営）③結果入力'!$D$16:$K$345,5,FALSE)="","",VLOOKUP(L$6&amp;$C46,'◆（運営）③結果入力'!$D$16:$K$345,5,FALSE)))</f>
      </c>
      <c r="AH46" s="337">
        <f>IF(ISERROR(VLOOKUP(M$6&amp;$C46,'◆（運営）③結果入力'!$D$16:$K$345,5,FALSE)),IF(VLOOKUP(M$6&amp;$C46,'◆（運営）③結果入力'!$E$16:$K$345,7,FALSE)="","",VLOOKUP(M$6&amp;$C46,'◆（運営）③結果入力'!$E$16:$K$345,7,FALSE)),IF(VLOOKUP(M$6&amp;$C46,'◆（運営）③結果入力'!$D$16:$K$345,5,FALSE)="","",VLOOKUP(M$6&amp;$C46,'◆（運営）③結果入力'!$D$16:$K$345,5,FALSE)))</f>
      </c>
      <c r="AI46" s="337">
        <f>IF(ISERROR(VLOOKUP(N$6&amp;$C46,'◆（運営）③結果入力'!$D$16:$K$345,5,FALSE)),IF(VLOOKUP(N$6&amp;$C46,'◆（運営）③結果入力'!$E$16:$K$345,7,FALSE)="","",VLOOKUP(N$6&amp;$C46,'◆（運営）③結果入力'!$E$16:$K$345,7,FALSE)),IF(VLOOKUP(N$6&amp;$C46,'◆（運営）③結果入力'!$D$16:$K$345,5,FALSE)="","",VLOOKUP(N$6&amp;$C46,'◆（運営）③結果入力'!$D$16:$K$345,5,FALSE)))</f>
      </c>
      <c r="AJ46" s="337">
        <f>IF(O45="","",IF(ISERROR(VLOOKUP(O$6&amp;$C46,'◆（運営）③結果入力'!$D$16:$K$345,5,FALSE)),IF(VLOOKUP(O$6&amp;$C46,'◆（運営）③結果入力'!$E$16:$K$345,7,FALSE)="","",VLOOKUP(O$6&amp;$C46,'◆（運営）③結果入力'!$E$16:$K$345,7,FALSE)),IF(VLOOKUP(O$6&amp;$C46,'◆（運営）③結果入力'!$D$16:$K$345,5,FALSE)="","",VLOOKUP(O$6&amp;$C46,'◆（運営）③結果入力'!$D$16:$K$345,5,FALSE))))</f>
      </c>
      <c r="AK46" s="337"/>
      <c r="AL46" s="338"/>
      <c r="AM46" s="339">
        <f aca="true" t="shared" si="57" ref="AM46:AM55">IF(COUNTBLANK(AA46:AL46)=12,"",IF(AO46&gt;0,"A120",IF(AP46&gt;0,"B120",MAX(AA46:AL46))))</f>
      </c>
      <c r="AO46" s="335">
        <f aca="true" t="shared" si="58" ref="AO46:AO55">COUNTIF(AA46:AL46,"A120")</f>
        <v>0</v>
      </c>
      <c r="AP46" s="335">
        <f aca="true" t="shared" si="59" ref="AP46:AP55">COUNTIF(AA46:AL46,"B120")</f>
        <v>0</v>
      </c>
      <c r="AQ46" s="335">
        <f aca="true" t="shared" si="60" ref="AQ46:AQ55">SUM(AA46:AL46)</f>
        <v>0</v>
      </c>
      <c r="AR46" s="335">
        <f aca="true" t="shared" si="61" ref="AR46:AR55">AO46*1000000+AP46*10000+AQ46</f>
        <v>0</v>
      </c>
      <c r="AS46" s="335">
        <f aca="true" t="shared" si="62" ref="AS46:AS55">RANK(AR46,$AR$7:$AR$68,0)</f>
        <v>17</v>
      </c>
    </row>
    <row r="47" spans="1:45" ht="12" customHeight="1">
      <c r="A47" s="274">
        <v>2</v>
      </c>
      <c r="B47" s="315" t="str">
        <f t="shared" si="47"/>
        <v>愛知</v>
      </c>
      <c r="C47" s="316" t="str">
        <f>IF(B47="","",VLOOKUP(B47,'ブロック表'!$C$4:$N$15,9,FALSE))</f>
        <v>近藤 智靖</v>
      </c>
      <c r="D47" s="317"/>
      <c r="E47" s="318"/>
      <c r="F47" s="319" t="str">
        <f>IF(ISERROR(VLOOKUP(F$6&amp;$C47,'◆（運営）③結果入力'!$D$16:$I$345,6,FALSE)),IF(VLOOKUP(F$6&amp;$C47,'◆（運営）③結果入力'!$E$16:$J$345,6,FALSE)="","",VLOOKUP(F$6&amp;$C47,'◆（運営）③結果入力'!$E$16:$J$345,6,FALSE)),IF(VLOOKUP(F$6&amp;$C47,'◆（運営）③結果入力'!$D$16:$I$345,6,FALSE)="","",VLOOKUP(F$6&amp;$C47,'◆（運営）③結果入力'!$D$16:$I$345,6,FALSE)))</f>
        <v>W</v>
      </c>
      <c r="G47" s="383"/>
      <c r="H47" s="320" t="str">
        <f>IF(ISERROR(VLOOKUP(H$6&amp;$C47,'◆（運営）③結果入力'!$D$16:$I$345,6,FALSE)),IF(VLOOKUP(H$6&amp;$C47,'◆（運営）③結果入力'!$E$16:$J$345,6,FALSE)="","",VLOOKUP(H$6&amp;$C47,'◆（運営）③結果入力'!$E$16:$J$345,6,FALSE)),IF(VLOOKUP(H$6&amp;$C47,'◆（運営）③結果入力'!$D$16:$I$345,6,FALSE)="","",VLOOKUP(H$6&amp;$C47,'◆（運営）③結果入力'!$D$16:$I$345,6,FALSE)))</f>
        <v>W</v>
      </c>
      <c r="I47" s="320" t="str">
        <f>IF(ISERROR(VLOOKUP(I$6&amp;$C47,'◆（運営）③結果入力'!$D$16:$I$345,6,FALSE)),IF(VLOOKUP(I$6&amp;$C47,'◆（運営）③結果入力'!$E$16:$J$345,6,FALSE)="","",VLOOKUP(I$6&amp;$C47,'◆（運営）③結果入力'!$E$16:$J$345,6,FALSE)),IF(VLOOKUP(I$6&amp;$C47,'◆（運営）③結果入力'!$D$16:$I$345,6,FALSE)="","",VLOOKUP(I$6&amp;$C47,'◆（運営）③結果入力'!$D$16:$I$345,6,FALSE)))</f>
        <v>W</v>
      </c>
      <c r="J47" s="320" t="str">
        <f>IF(ISERROR(VLOOKUP(J$6&amp;$C47,'◆（運営）③結果入力'!$D$16:$I$345,6,FALSE)),IF(VLOOKUP(J$6&amp;$C47,'◆（運営）③結果入力'!$E$16:$J$345,6,FALSE)="","",VLOOKUP(J$6&amp;$C47,'◆（運営）③結果入力'!$E$16:$J$345,6,FALSE)),IF(VLOOKUP(J$6&amp;$C47,'◆（運営）③結果入力'!$D$16:$I$345,6,FALSE)="","",VLOOKUP(J$6&amp;$C47,'◆（運営）③結果入力'!$D$16:$I$345,6,FALSE)))</f>
        <v>W</v>
      </c>
      <c r="K47" s="320" t="str">
        <f>IF(ISERROR(VLOOKUP(K$6&amp;$C47,'◆（運営）③結果入力'!$D$16:$I$345,6,FALSE)),IF(VLOOKUP(K$6&amp;$C47,'◆（運営）③結果入力'!$E$16:$J$345,6,FALSE)="","",VLOOKUP(K$6&amp;$C47,'◆（運営）③結果入力'!$E$16:$J$345,6,FALSE)),IF(VLOOKUP(K$6&amp;$C47,'◆（運営）③結果入力'!$D$16:$I$345,6,FALSE)="","",VLOOKUP(K$6&amp;$C47,'◆（運営）③結果入力'!$D$16:$I$345,6,FALSE)))</f>
        <v>W</v>
      </c>
      <c r="L47" s="320" t="str">
        <f>IF(ISERROR(VLOOKUP(L$6&amp;$C47,'◆（運営）③結果入力'!$D$16:$I$345,6,FALSE)),IF(VLOOKUP(L$6&amp;$C47,'◆（運営）③結果入力'!$E$16:$J$345,6,FALSE)="","",VLOOKUP(L$6&amp;$C47,'◆（運営）③結果入力'!$E$16:$J$345,6,FALSE)),IF(VLOOKUP(L$6&amp;$C47,'◆（運営）③結果入力'!$D$16:$I$345,6,FALSE)="","",VLOOKUP(L$6&amp;$C47,'◆（運営）③結果入力'!$D$16:$I$345,6,FALSE)))</f>
        <v>W</v>
      </c>
      <c r="M47" s="320">
        <f>IF(ISERROR(VLOOKUP(M$6&amp;$C47,'◆（運営）③結果入力'!$D$16:$I$345,6,FALSE)),IF(VLOOKUP(M$6&amp;$C47,'◆（運営）③結果入力'!$E$16:$J$345,6,FALSE)="","",VLOOKUP(M$6&amp;$C47,'◆（運営）③結果入力'!$E$16:$J$345,6,FALSE)),IF(VLOOKUP(M$6&amp;$C47,'◆（運営）③結果入力'!$D$16:$I$345,6,FALSE)="","",VLOOKUP(M$6&amp;$C47,'◆（運営）③結果入力'!$D$16:$I$345,6,FALSE)))</f>
        <v>41</v>
      </c>
      <c r="N47" s="320">
        <f>IF(ISERROR(VLOOKUP(N$6&amp;$C47,'◆（運営）③結果入力'!$D$16:$I$345,6,FALSE)),IF(VLOOKUP(N$6&amp;$C47,'◆（運営）③結果入力'!$E$16:$J$345,6,FALSE)="","",VLOOKUP(N$6&amp;$C47,'◆（運営）③結果入力'!$E$16:$J$345,6,FALSE)),IF(VLOOKUP(N$6&amp;$C47,'◆（運営）③結果入力'!$D$16:$I$345,6,FALSE)="","",VLOOKUP(N$6&amp;$C47,'◆（運営）③結果入力'!$D$16:$I$345,6,FALSE)))</f>
        <v>43</v>
      </c>
      <c r="O47" s="320" t="str">
        <f>IF(O45="","",IF(ISERROR(VLOOKUP(O$6&amp;$C47,'◆（運営）③結果入力'!$D$16:$I$345,6,FALSE)),IF(VLOOKUP(O$6&amp;$C47,'◆（運営）③結果入力'!$E$16:$J$345,6,FALSE)="","",VLOOKUP(O$6&amp;$C47,'◆（運営）③結果入力'!$E$16:$J$345,6,FALSE)),IF(VLOOKUP(O$6&amp;$C47,'◆（運営）③結果入力'!$D$16:$I$345,6,FALSE)="","",VLOOKUP(O$6&amp;$C47,'◆（運営）③結果入力'!$D$16:$I$345,6,FALSE))))</f>
        <v>W</v>
      </c>
      <c r="P47" s="340">
        <f t="shared" si="48"/>
        <v>7</v>
      </c>
      <c r="Q47" s="200">
        <f t="shared" si="49"/>
        <v>2</v>
      </c>
      <c r="R47" s="341">
        <f t="shared" si="50"/>
        <v>924</v>
      </c>
      <c r="S47" s="341">
        <f>IF(COUNTBLANK(F47:O47)=10,"",SUM(G46:G55)+(Q47*120))</f>
        <v>806</v>
      </c>
      <c r="T47" s="303">
        <f t="shared" si="51"/>
        <v>2</v>
      </c>
      <c r="U47" s="276">
        <f t="shared" si="52"/>
        <v>9</v>
      </c>
      <c r="V47" s="276">
        <f t="shared" si="53"/>
        <v>0</v>
      </c>
      <c r="W47" s="276">
        <f t="shared" si="54"/>
        <v>709239194</v>
      </c>
      <c r="X47" s="276">
        <f>IF(W47=0,"",IF(W47=MAX($W$8,$W$21,$W$34,$W$47,$W$60),1,""))</f>
        <v>1</v>
      </c>
      <c r="Y47" s="276" t="str">
        <f t="shared" si="55"/>
        <v>1愛知</v>
      </c>
      <c r="Z47" s="276" t="str">
        <f t="shared" si="56"/>
        <v>近藤 智靖</v>
      </c>
      <c r="AA47" s="342">
        <f>IF(ISERROR(VLOOKUP(F$6&amp;$C47,'◆（運営）③結果入力'!$D$16:$K$345,5,FALSE)),IF(VLOOKUP(F$6&amp;$C47,'◆（運営）③結果入力'!$E$16:$K$345,7,FALSE)="","",VLOOKUP(F$6&amp;$C47,'◆（運営）③結果入力'!$E$16:$K$345,7,FALSE)),IF(VLOOKUP(F$6&amp;$C47,'◆（運営）③結果入力'!$D$16:$K$345,5,FALSE)="","",VLOOKUP(F$6&amp;$C47,'◆（運営）③結果入力'!$D$16:$K$345,5,FALSE)))</f>
      </c>
      <c r="AB47" s="386"/>
      <c r="AC47" s="343">
        <f>IF(ISERROR(VLOOKUP(H$6&amp;$C47,'◆（運営）③結果入力'!$D$16:$K$345,5,FALSE)),IF(VLOOKUP(H$6&amp;$C47,'◆（運営）③結果入力'!$E$16:$K$345,7,FALSE)="","",VLOOKUP(H$6&amp;$C47,'◆（運営）③結果入力'!$E$16:$K$345,7,FALSE)),IF(VLOOKUP(H$6&amp;$C47,'◆（運営）③結果入力'!$D$16:$K$345,5,FALSE)="","",VLOOKUP(H$6&amp;$C47,'◆（運営）③結果入力'!$D$16:$K$345,5,FALSE)))</f>
      </c>
      <c r="AD47" s="343">
        <f>IF(ISERROR(VLOOKUP(I$6&amp;$C47,'◆（運営）③結果入力'!$D$16:$K$345,5,FALSE)),IF(VLOOKUP(I$6&amp;$C47,'◆（運営）③結果入力'!$E$16:$K$345,7,FALSE)="","",VLOOKUP(I$6&amp;$C47,'◆（運営）③結果入力'!$E$16:$K$345,7,FALSE)),IF(VLOOKUP(I$6&amp;$C47,'◆（運営）③結果入力'!$D$16:$K$345,5,FALSE)="","",VLOOKUP(I$6&amp;$C47,'◆（運営）③結果入力'!$D$16:$K$345,5,FALSE)))</f>
      </c>
      <c r="AE47" s="343">
        <f>IF(ISERROR(VLOOKUP(J$6&amp;$C47,'◆（運営）③結果入力'!$D$16:$K$345,5,FALSE)),IF(VLOOKUP(J$6&amp;$C47,'◆（運営）③結果入力'!$E$16:$K$345,7,FALSE)="","",VLOOKUP(J$6&amp;$C47,'◆（運営）③結果入力'!$E$16:$K$345,7,FALSE)),IF(VLOOKUP(J$6&amp;$C47,'◆（運営）③結果入力'!$D$16:$K$345,5,FALSE)="","",VLOOKUP(J$6&amp;$C47,'◆（運営）③結果入力'!$D$16:$K$345,5,FALSE)))</f>
      </c>
      <c r="AF47" s="343">
        <f>IF(ISERROR(VLOOKUP(K$6&amp;$C47,'◆（運営）③結果入力'!$D$16:$K$345,5,FALSE)),IF(VLOOKUP(K$6&amp;$C47,'◆（運営）③結果入力'!$E$16:$K$345,7,FALSE)="","",VLOOKUP(K$6&amp;$C47,'◆（運営）③結果入力'!$E$16:$K$345,7,FALSE)),IF(VLOOKUP(K$6&amp;$C47,'◆（運営）③結果入力'!$D$16:$K$345,5,FALSE)="","",VLOOKUP(K$6&amp;$C47,'◆（運営）③結果入力'!$D$16:$K$345,5,FALSE)))</f>
      </c>
      <c r="AG47" s="343">
        <f>IF(ISERROR(VLOOKUP(L$6&amp;$C47,'◆（運営）③結果入力'!$D$16:$K$345,5,FALSE)),IF(VLOOKUP(L$6&amp;$C47,'◆（運営）③結果入力'!$E$16:$K$345,7,FALSE)="","",VLOOKUP(L$6&amp;$C47,'◆（運営）③結果入力'!$E$16:$K$345,7,FALSE)),IF(VLOOKUP(L$6&amp;$C47,'◆（運営）③結果入力'!$D$16:$K$345,5,FALSE)="","",VLOOKUP(L$6&amp;$C47,'◆（運営）③結果入力'!$D$16:$K$345,5,FALSE)))</f>
        <v>102</v>
      </c>
      <c r="AH47" s="343">
        <f>IF(ISERROR(VLOOKUP(M$6&amp;$C47,'◆（運営）③結果入力'!$D$16:$K$345,5,FALSE)),IF(VLOOKUP(M$6&amp;$C47,'◆（運営）③結果入力'!$E$16:$K$345,7,FALSE)="","",VLOOKUP(M$6&amp;$C47,'◆（運営）③結果入力'!$E$16:$K$345,7,FALSE)),IF(VLOOKUP(M$6&amp;$C47,'◆（運営）③結果入力'!$D$16:$K$345,5,FALSE)="","",VLOOKUP(M$6&amp;$C47,'◆（運営）③結果入力'!$D$16:$K$345,5,FALSE)))</f>
      </c>
      <c r="AI47" s="343">
        <f>IF(ISERROR(VLOOKUP(N$6&amp;$C47,'◆（運営）③結果入力'!$D$16:$K$345,5,FALSE)),IF(VLOOKUP(N$6&amp;$C47,'◆（運営）③結果入力'!$E$16:$K$345,7,FALSE)="","",VLOOKUP(N$6&amp;$C47,'◆（運営）③結果入力'!$E$16:$K$345,7,FALSE)),IF(VLOOKUP(N$6&amp;$C47,'◆（運営）③結果入力'!$D$16:$K$345,5,FALSE)="","",VLOOKUP(N$6&amp;$C47,'◆（運営）③結果入力'!$D$16:$K$345,5,FALSE)))</f>
      </c>
      <c r="AJ47" s="343">
        <f>IF(O45="","",IF(ISERROR(VLOOKUP(O$6&amp;$C47,'◆（運営）③結果入力'!$D$16:$K$345,5,FALSE)),IF(VLOOKUP(O$6&amp;$C47,'◆（運営）③結果入力'!$E$16:$K$345,7,FALSE)="","",VLOOKUP(O$6&amp;$C47,'◆（運営）③結果入力'!$E$16:$K$345,7,FALSE)),IF(VLOOKUP(O$6&amp;$C47,'◆（運営）③結果入力'!$D$16:$K$345,5,FALSE)="","",VLOOKUP(O$6&amp;$C47,'◆（運営）③結果入力'!$D$16:$K$345,5,FALSE))))</f>
      </c>
      <c r="AK47" s="343"/>
      <c r="AL47" s="344"/>
      <c r="AM47" s="345">
        <f t="shared" si="57"/>
        <v>102</v>
      </c>
      <c r="AO47" s="335">
        <f t="shared" si="58"/>
        <v>0</v>
      </c>
      <c r="AP47" s="335">
        <f t="shared" si="59"/>
        <v>0</v>
      </c>
      <c r="AQ47" s="335">
        <f t="shared" si="60"/>
        <v>102</v>
      </c>
      <c r="AR47" s="335">
        <f t="shared" si="61"/>
        <v>102</v>
      </c>
      <c r="AS47" s="335">
        <f t="shared" si="62"/>
        <v>16</v>
      </c>
    </row>
    <row r="48" spans="1:45" ht="12" customHeight="1">
      <c r="A48" s="274">
        <v>3</v>
      </c>
      <c r="B48" s="315" t="str">
        <f t="shared" si="47"/>
        <v>京都</v>
      </c>
      <c r="C48" s="316" t="str">
        <f>IF(B48="","",VLOOKUP(B48,'ブロック表'!$C$4:$N$15,9,FALSE))</f>
        <v>加藤 秀万</v>
      </c>
      <c r="D48" s="317"/>
      <c r="E48" s="318"/>
      <c r="F48" s="319">
        <f>IF(ISERROR(VLOOKUP(F$6&amp;$C48,'◆（運営）③結果入力'!$D$16:$I$345,6,FALSE)),IF(VLOOKUP(F$6&amp;$C48,'◆（運営）③結果入力'!$E$16:$J$345,6,FALSE)="","",VLOOKUP(F$6&amp;$C48,'◆（運営）③結果入力'!$E$16:$J$345,6,FALSE)),IF(VLOOKUP(F$6&amp;$C48,'◆（運営）③結果入力'!$D$16:$I$345,6,FALSE)="","",VLOOKUP(F$6&amp;$C48,'◆（運営）③結果入力'!$D$16:$I$345,6,FALSE)))</f>
        <v>20</v>
      </c>
      <c r="G48" s="320">
        <f>IF(ISERROR(VLOOKUP(G$6&amp;$C48,'◆（運営）③結果入力'!$D$16:$I$345,6,FALSE)),IF(VLOOKUP(G$6&amp;$C48,'◆（運営）③結果入力'!$E$16:$J$345,6,FALSE)="","",VLOOKUP(G$6&amp;$C48,'◆（運営）③結果入力'!$E$16:$J$345,6,FALSE)),IF(VLOOKUP(G$6&amp;$C48,'◆（運営）③結果入力'!$D$16:$I$345,6,FALSE)="","",VLOOKUP(G$6&amp;$C48,'◆（運営）③結果入力'!$D$16:$I$345,6,FALSE)))</f>
        <v>81</v>
      </c>
      <c r="H48" s="383"/>
      <c r="I48" s="320">
        <f>IF(ISERROR(VLOOKUP(I$6&amp;$C48,'◆（運営）③結果入力'!$D$16:$I$345,6,FALSE)),IF(VLOOKUP(I$6&amp;$C48,'◆（運営）③結果入力'!$E$16:$J$345,6,FALSE)="","",VLOOKUP(I$6&amp;$C48,'◆（運営）③結果入力'!$E$16:$J$345,6,FALSE)),IF(VLOOKUP(I$6&amp;$C48,'◆（運営）③結果入力'!$D$16:$I$345,6,FALSE)="","",VLOOKUP(I$6&amp;$C48,'◆（運営）③結果入力'!$D$16:$I$345,6,FALSE)))</f>
        <v>61</v>
      </c>
      <c r="J48" s="320" t="str">
        <f>IF(ISERROR(VLOOKUP(J$6&amp;$C48,'◆（運営）③結果入力'!$D$16:$I$345,6,FALSE)),IF(VLOOKUP(J$6&amp;$C48,'◆（運営）③結果入力'!$E$16:$J$345,6,FALSE)="","",VLOOKUP(J$6&amp;$C48,'◆（運営）③結果入力'!$E$16:$J$345,6,FALSE)),IF(VLOOKUP(J$6&amp;$C48,'◆（運営）③結果入力'!$D$16:$I$345,6,FALSE)="","",VLOOKUP(J$6&amp;$C48,'◆（運営）③結果入力'!$D$16:$I$345,6,FALSE)))</f>
        <v>W</v>
      </c>
      <c r="K48" s="320" t="str">
        <f>IF(ISERROR(VLOOKUP(K$6&amp;$C48,'◆（運営）③結果入力'!$D$16:$I$345,6,FALSE)),IF(VLOOKUP(K$6&amp;$C48,'◆（運営）③結果入力'!$E$16:$J$345,6,FALSE)="","",VLOOKUP(K$6&amp;$C48,'◆（運営）③結果入力'!$E$16:$J$345,6,FALSE)),IF(VLOOKUP(K$6&amp;$C48,'◆（運営）③結果入力'!$D$16:$I$345,6,FALSE)="","",VLOOKUP(K$6&amp;$C48,'◆（運営）③結果入力'!$D$16:$I$345,6,FALSE)))</f>
        <v>W</v>
      </c>
      <c r="L48" s="320" t="str">
        <f>IF(ISERROR(VLOOKUP(L$6&amp;$C48,'◆（運営）③結果入力'!$D$16:$I$345,6,FALSE)),IF(VLOOKUP(L$6&amp;$C48,'◆（運営）③結果入力'!$E$16:$J$345,6,FALSE)="","",VLOOKUP(L$6&amp;$C48,'◆（運営）③結果入力'!$E$16:$J$345,6,FALSE)),IF(VLOOKUP(L$6&amp;$C48,'◆（運営）③結果入力'!$D$16:$I$345,6,FALSE)="","",VLOOKUP(L$6&amp;$C48,'◆（運営）③結果入力'!$D$16:$I$345,6,FALSE)))</f>
        <v>W</v>
      </c>
      <c r="M48" s="320">
        <f>IF(ISERROR(VLOOKUP(M$6&amp;$C48,'◆（運営）③結果入力'!$D$16:$I$345,6,FALSE)),IF(VLOOKUP(M$6&amp;$C48,'◆（運営）③結果入力'!$E$16:$J$345,6,FALSE)="","",VLOOKUP(M$6&amp;$C48,'◆（運営）③結果入力'!$E$16:$J$345,6,FALSE)),IF(VLOOKUP(M$6&amp;$C48,'◆（運営）③結果入力'!$D$16:$I$345,6,FALSE)="","",VLOOKUP(M$6&amp;$C48,'◆（運営）③結果入力'!$D$16:$I$345,6,FALSE)))</f>
        <v>24</v>
      </c>
      <c r="N48" s="320" t="str">
        <f>IF(ISERROR(VLOOKUP(N$6&amp;$C48,'◆（運営）③結果入力'!$D$16:$I$345,6,FALSE)),IF(VLOOKUP(N$6&amp;$C48,'◆（運営）③結果入力'!$E$16:$J$345,6,FALSE)="","",VLOOKUP(N$6&amp;$C48,'◆（運営）③結果入力'!$E$16:$J$345,6,FALSE)),IF(VLOOKUP(N$6&amp;$C48,'◆（運営）③結果入力'!$D$16:$I$345,6,FALSE)="","",VLOOKUP(N$6&amp;$C48,'◆（運営）③結果入力'!$D$16:$I$345,6,FALSE)))</f>
        <v>W</v>
      </c>
      <c r="O48" s="320" t="str">
        <f>IF(O45="","",IF(ISERROR(VLOOKUP(O$6&amp;$C48,'◆（運営）③結果入力'!$D$16:$I$345,6,FALSE)),IF(VLOOKUP(O$6&amp;$C48,'◆（運営）③結果入力'!$E$16:$J$345,6,FALSE)="","",VLOOKUP(O$6&amp;$C48,'◆（運営）③結果入力'!$E$16:$J$345,6,FALSE)),IF(VLOOKUP(O$6&amp;$C48,'◆（運営）③結果入力'!$D$16:$I$345,6,FALSE)="","",VLOOKUP(O$6&amp;$C48,'◆（運営）③結果入力'!$D$16:$I$345,6,FALSE))))</f>
        <v>W</v>
      </c>
      <c r="P48" s="340">
        <f t="shared" si="48"/>
        <v>5</v>
      </c>
      <c r="Q48" s="200">
        <f t="shared" si="49"/>
        <v>4</v>
      </c>
      <c r="R48" s="341">
        <f t="shared" si="50"/>
        <v>786</v>
      </c>
      <c r="S48" s="341">
        <f>IF(COUNTBLANK(F48:O48)=10,"",SUM(H46:H55)+(Q48*120))</f>
        <v>756</v>
      </c>
      <c r="T48" s="303">
        <f t="shared" si="51"/>
        <v>5</v>
      </c>
      <c r="U48" s="276">
        <f t="shared" si="52"/>
        <v>9</v>
      </c>
      <c r="V48" s="276">
        <f t="shared" si="53"/>
        <v>0</v>
      </c>
      <c r="W48" s="276">
        <f t="shared" si="54"/>
        <v>507859244</v>
      </c>
      <c r="X48" s="276">
        <f>IF(W48=0,"",IF(W48=MAX($W$9,$W$22,$W$35,$W$48,$W$61),1,""))</f>
      </c>
      <c r="Y48" s="276" t="str">
        <f t="shared" si="55"/>
        <v>京都</v>
      </c>
      <c r="Z48" s="276" t="str">
        <f t="shared" si="56"/>
        <v>加藤 秀万</v>
      </c>
      <c r="AA48" s="342">
        <f>IF(ISERROR(VLOOKUP(F$6&amp;$C48,'◆（運営）③結果入力'!$D$16:$K$345,5,FALSE)),IF(VLOOKUP(F$6&amp;$C48,'◆（運営）③結果入力'!$E$16:$K$345,7,FALSE)="","",VLOOKUP(F$6&amp;$C48,'◆（運営）③結果入力'!$E$16:$K$345,7,FALSE)),IF(VLOOKUP(F$6&amp;$C48,'◆（運営）③結果入力'!$D$16:$K$345,5,FALSE)="","",VLOOKUP(F$6&amp;$C48,'◆（運営）③結果入力'!$D$16:$K$345,5,FALSE)))</f>
      </c>
      <c r="AB48" s="343">
        <f>IF(ISERROR(VLOOKUP(G$6&amp;$C48,'◆（運営）③結果入力'!$D$16:$K$345,5,FALSE)),IF(VLOOKUP(G$6&amp;$C48,'◆（運営）③結果入力'!$E$16:$K$345,7,FALSE)="","",VLOOKUP(G$6&amp;$C48,'◆（運営）③結果入力'!$E$16:$K$345,7,FALSE)),IF(VLOOKUP(G$6&amp;$C48,'◆（運営）③結果入力'!$D$16:$K$345,5,FALSE)="","",VLOOKUP(G$6&amp;$C48,'◆（運営）③結果入力'!$D$16:$K$345,5,FALSE)))</f>
      </c>
      <c r="AC48" s="386"/>
      <c r="AD48" s="343">
        <f>IF(ISERROR(VLOOKUP(I$6&amp;$C48,'◆（運営）③結果入力'!$D$16:$K$345,5,FALSE)),IF(VLOOKUP(I$6&amp;$C48,'◆（運営）③結果入力'!$E$16:$K$345,7,FALSE)="","",VLOOKUP(I$6&amp;$C48,'◆（運営）③結果入力'!$E$16:$K$345,7,FALSE)),IF(VLOOKUP(I$6&amp;$C48,'◆（運営）③結果入力'!$D$16:$K$345,5,FALSE)="","",VLOOKUP(I$6&amp;$C48,'◆（運営）③結果入力'!$D$16:$K$345,5,FALSE)))</f>
      </c>
      <c r="AE48" s="343">
        <f>IF(ISERROR(VLOOKUP(J$6&amp;$C48,'◆（運営）③結果入力'!$D$16:$K$345,5,FALSE)),IF(VLOOKUP(J$6&amp;$C48,'◆（運営）③結果入力'!$E$16:$K$345,7,FALSE)="","",VLOOKUP(J$6&amp;$C48,'◆（運営）③結果入力'!$E$16:$K$345,7,FALSE)),IF(VLOOKUP(J$6&amp;$C48,'◆（運営）③結果入力'!$D$16:$K$345,5,FALSE)="","",VLOOKUP(J$6&amp;$C48,'◆（運営）③結果入力'!$D$16:$K$345,5,FALSE)))</f>
      </c>
      <c r="AF48" s="343">
        <f>IF(ISERROR(VLOOKUP(K$6&amp;$C48,'◆（運営）③結果入力'!$D$16:$K$345,5,FALSE)),IF(VLOOKUP(K$6&amp;$C48,'◆（運営）③結果入力'!$E$16:$K$345,7,FALSE)="","",VLOOKUP(K$6&amp;$C48,'◆（運営）③結果入力'!$E$16:$K$345,7,FALSE)),IF(VLOOKUP(K$6&amp;$C48,'◆（運営）③結果入力'!$D$16:$K$345,5,FALSE)="","",VLOOKUP(K$6&amp;$C48,'◆（運営）③結果入力'!$D$16:$K$345,5,FALSE)))</f>
      </c>
      <c r="AG48" s="343">
        <f>IF(ISERROR(VLOOKUP(L$6&amp;$C48,'◆（運営）③結果入力'!$D$16:$K$345,5,FALSE)),IF(VLOOKUP(L$6&amp;$C48,'◆（運営）③結果入力'!$E$16:$K$345,7,FALSE)="","",VLOOKUP(L$6&amp;$C48,'◆（運営）③結果入力'!$E$16:$K$345,7,FALSE)),IF(VLOOKUP(L$6&amp;$C48,'◆（運営）③結果入力'!$D$16:$K$345,5,FALSE)="","",VLOOKUP(L$6&amp;$C48,'◆（運営）③結果入力'!$D$16:$K$345,5,FALSE)))</f>
      </c>
      <c r="AH48" s="343">
        <f>IF(ISERROR(VLOOKUP(M$6&amp;$C48,'◆（運営）③結果入力'!$D$16:$K$345,5,FALSE)),IF(VLOOKUP(M$6&amp;$C48,'◆（運営）③結果入力'!$E$16:$K$345,7,FALSE)="","",VLOOKUP(M$6&amp;$C48,'◆（運営）③結果入力'!$E$16:$K$345,7,FALSE)),IF(VLOOKUP(M$6&amp;$C48,'◆（運営）③結果入力'!$D$16:$K$345,5,FALSE)="","",VLOOKUP(M$6&amp;$C48,'◆（運営）③結果入力'!$D$16:$K$345,5,FALSE)))</f>
      </c>
      <c r="AI48" s="343">
        <f>IF(ISERROR(VLOOKUP(N$6&amp;$C48,'◆（運営）③結果入力'!$D$16:$K$345,5,FALSE)),IF(VLOOKUP(N$6&amp;$C48,'◆（運営）③結果入力'!$E$16:$K$345,7,FALSE)="","",VLOOKUP(N$6&amp;$C48,'◆（運営）③結果入力'!$E$16:$K$345,7,FALSE)),IF(VLOOKUP(N$6&amp;$C48,'◆（運営）③結果入力'!$D$16:$K$345,5,FALSE)="","",VLOOKUP(N$6&amp;$C48,'◆（運営）③結果入力'!$D$16:$K$345,5,FALSE)))</f>
      </c>
      <c r="AJ48" s="343">
        <f>IF(O45="","",IF(ISERROR(VLOOKUP(O$6&amp;$C48,'◆（運営）③結果入力'!$D$16:$K$345,5,FALSE)),IF(VLOOKUP(O$6&amp;$C48,'◆（運営）③結果入力'!$E$16:$K$345,7,FALSE)="","",VLOOKUP(O$6&amp;$C48,'◆（運営）③結果入力'!$E$16:$K$345,7,FALSE)),IF(VLOOKUP(O$6&amp;$C48,'◆（運営）③結果入力'!$D$16:$K$345,5,FALSE)="","",VLOOKUP(O$6&amp;$C48,'◆（運営）③結果入力'!$D$16:$K$345,5,FALSE))))</f>
      </c>
      <c r="AK48" s="343"/>
      <c r="AL48" s="344"/>
      <c r="AM48" s="345">
        <f t="shared" si="57"/>
      </c>
      <c r="AO48" s="335">
        <f t="shared" si="58"/>
        <v>0</v>
      </c>
      <c r="AP48" s="335">
        <f t="shared" si="59"/>
        <v>0</v>
      </c>
      <c r="AQ48" s="335">
        <f t="shared" si="60"/>
        <v>0</v>
      </c>
      <c r="AR48" s="335">
        <f t="shared" si="61"/>
        <v>0</v>
      </c>
      <c r="AS48" s="335">
        <f t="shared" si="62"/>
        <v>17</v>
      </c>
    </row>
    <row r="49" spans="1:45" ht="12" customHeight="1">
      <c r="A49" s="274">
        <v>4</v>
      </c>
      <c r="B49" s="315" t="str">
        <f t="shared" si="47"/>
        <v>大阪A</v>
      </c>
      <c r="C49" s="316" t="str">
        <f>IF(B49="","",VLOOKUP(B49,'ブロック表'!$C$4:$N$15,9,FALSE))</f>
        <v>乾 伸綱</v>
      </c>
      <c r="D49" s="317"/>
      <c r="E49" s="318"/>
      <c r="F49" s="319" t="str">
        <f>IF(ISERROR(VLOOKUP(F$6&amp;$C49,'◆（運営）③結果入力'!$D$16:$I$345,6,FALSE)),IF(VLOOKUP(F$6&amp;$C49,'◆（運営）③結果入力'!$E$16:$J$345,6,FALSE)="","",VLOOKUP(F$6&amp;$C49,'◆（運営）③結果入力'!$E$16:$J$345,6,FALSE)),IF(VLOOKUP(F$6&amp;$C49,'◆（運営）③結果入力'!$D$16:$I$345,6,FALSE)="","",VLOOKUP(F$6&amp;$C49,'◆（運営）③結果入力'!$D$16:$I$345,6,FALSE)))</f>
        <v>W</v>
      </c>
      <c r="G49" s="320">
        <f>IF(ISERROR(VLOOKUP(G$6&amp;$C49,'◆（運営）③結果入力'!$D$16:$I$345,6,FALSE)),IF(VLOOKUP(G$6&amp;$C49,'◆（運営）③結果入力'!$E$16:$J$345,6,FALSE)="","",VLOOKUP(G$6&amp;$C49,'◆（運営）③結果入力'!$E$16:$J$345,6,FALSE)),IF(VLOOKUP(G$6&amp;$C49,'◆（運営）③結果入力'!$D$16:$I$345,6,FALSE)="","",VLOOKUP(G$6&amp;$C49,'◆（運営）③結果入力'!$D$16:$I$345,6,FALSE)))</f>
        <v>106</v>
      </c>
      <c r="H49" s="320" t="str">
        <f>IF(ISERROR(VLOOKUP(H$6&amp;$C49,'◆（運営）③結果入力'!$D$16:$I$345,6,FALSE)),IF(VLOOKUP(H$6&amp;$C49,'◆（運営）③結果入力'!$E$16:$J$345,6,FALSE)="","",VLOOKUP(H$6&amp;$C49,'◆（運営）③結果入力'!$E$16:$J$345,6,FALSE)),IF(VLOOKUP(H$6&amp;$C49,'◆（運営）③結果入力'!$D$16:$I$345,6,FALSE)="","",VLOOKUP(H$6&amp;$C49,'◆（運営）③結果入力'!$D$16:$I$345,6,FALSE)))</f>
        <v>W</v>
      </c>
      <c r="I49" s="383"/>
      <c r="J49" s="320" t="str">
        <f>IF(ISERROR(VLOOKUP(J$6&amp;$C49,'◆（運営）③結果入力'!$D$16:$I$345,6,FALSE)),IF(VLOOKUP(J$6&amp;$C49,'◆（運営）③結果入力'!$E$16:$J$345,6,FALSE)="","",VLOOKUP(J$6&amp;$C49,'◆（運営）③結果入力'!$E$16:$J$345,6,FALSE)),IF(VLOOKUP(J$6&amp;$C49,'◆（運営）③結果入力'!$D$16:$I$345,6,FALSE)="","",VLOOKUP(J$6&amp;$C49,'◆（運営）③結果入力'!$D$16:$I$345,6,FALSE)))</f>
        <v>W</v>
      </c>
      <c r="K49" s="320" t="str">
        <f>IF(ISERROR(VLOOKUP(K$6&amp;$C49,'◆（運営）③結果入力'!$D$16:$I$345,6,FALSE)),IF(VLOOKUP(K$6&amp;$C49,'◆（運営）③結果入力'!$E$16:$J$345,6,FALSE)="","",VLOOKUP(K$6&amp;$C49,'◆（運営）③結果入力'!$E$16:$J$345,6,FALSE)),IF(VLOOKUP(K$6&amp;$C49,'◆（運営）③結果入力'!$D$16:$I$345,6,FALSE)="","",VLOOKUP(K$6&amp;$C49,'◆（運営）③結果入力'!$D$16:$I$345,6,FALSE)))</f>
        <v>W</v>
      </c>
      <c r="L49" s="320" t="str">
        <f>IF(ISERROR(VLOOKUP(L$6&amp;$C49,'◆（運営）③結果入力'!$D$16:$I$345,6,FALSE)),IF(VLOOKUP(L$6&amp;$C49,'◆（運営）③結果入力'!$E$16:$J$345,6,FALSE)="","",VLOOKUP(L$6&amp;$C49,'◆（運営）③結果入力'!$E$16:$J$345,6,FALSE)),IF(VLOOKUP(L$6&amp;$C49,'◆（運営）③結果入力'!$D$16:$I$345,6,FALSE)="","",VLOOKUP(L$6&amp;$C49,'◆（運営）③結果入力'!$D$16:$I$345,6,FALSE)))</f>
        <v>W</v>
      </c>
      <c r="M49" s="320">
        <f>IF(ISERROR(VLOOKUP(M$6&amp;$C49,'◆（運営）③結果入力'!$D$16:$I$345,6,FALSE)),IF(VLOOKUP(M$6&amp;$C49,'◆（運営）③結果入力'!$E$16:$J$345,6,FALSE)="","",VLOOKUP(M$6&amp;$C49,'◆（運営）③結果入力'!$E$16:$J$345,6,FALSE)),IF(VLOOKUP(M$6&amp;$C49,'◆（運営）③結果入力'!$D$16:$I$345,6,FALSE)="","",VLOOKUP(M$6&amp;$C49,'◆（運営）③結果入力'!$D$16:$I$345,6,FALSE)))</f>
        <v>1</v>
      </c>
      <c r="N49" s="320" t="str">
        <f>IF(ISERROR(VLOOKUP(N$6&amp;$C49,'◆（運営）③結果入力'!$D$16:$I$345,6,FALSE)),IF(VLOOKUP(N$6&amp;$C49,'◆（運営）③結果入力'!$E$16:$J$345,6,FALSE)="","",VLOOKUP(N$6&amp;$C49,'◆（運営）③結果入力'!$E$16:$J$345,6,FALSE)),IF(VLOOKUP(N$6&amp;$C49,'◆（運営）③結果入力'!$D$16:$I$345,6,FALSE)="","",VLOOKUP(N$6&amp;$C49,'◆（運営）③結果入力'!$D$16:$I$345,6,FALSE)))</f>
        <v>W</v>
      </c>
      <c r="O49" s="320" t="str">
        <f>IF(O45="","",IF(ISERROR(VLOOKUP(O$6&amp;$C49,'◆（運営）③結果入力'!$D$16:$I$345,6,FALSE)),IF(VLOOKUP(O$6&amp;$C49,'◆（運営）③結果入力'!$E$16:$J$345,6,FALSE)="","",VLOOKUP(O$6&amp;$C49,'◆（運営）③結果入力'!$E$16:$J$345,6,FALSE)),IF(VLOOKUP(O$6&amp;$C49,'◆（運営）③結果入力'!$D$16:$I$345,6,FALSE)="","",VLOOKUP(O$6&amp;$C49,'◆（運営）③結果入力'!$D$16:$I$345,6,FALSE))))</f>
        <v>W</v>
      </c>
      <c r="P49" s="340">
        <f t="shared" si="48"/>
        <v>7</v>
      </c>
      <c r="Q49" s="200">
        <f t="shared" si="49"/>
        <v>2</v>
      </c>
      <c r="R49" s="341">
        <f t="shared" si="50"/>
        <v>947</v>
      </c>
      <c r="S49" s="341">
        <f>IF(COUNTBLANK(F49:O49)=10,"",SUM(I46:I55)+(Q49*120))</f>
        <v>615</v>
      </c>
      <c r="T49" s="303">
        <f t="shared" si="51"/>
        <v>1</v>
      </c>
      <c r="U49" s="276">
        <f t="shared" si="52"/>
        <v>9</v>
      </c>
      <c r="V49" s="276">
        <f t="shared" si="53"/>
        <v>0</v>
      </c>
      <c r="W49" s="276">
        <f t="shared" si="54"/>
        <v>709469385</v>
      </c>
      <c r="X49" s="276">
        <f>IF(W49=0,"",IF(W49=MAX($W$10,$W$23,$W$36,$W$49,$W$62),1,""))</f>
      </c>
      <c r="Y49" s="276" t="str">
        <f t="shared" si="55"/>
        <v>大阪A</v>
      </c>
      <c r="Z49" s="276" t="str">
        <f t="shared" si="56"/>
        <v>乾 伸綱</v>
      </c>
      <c r="AA49" s="342">
        <f>IF(ISERROR(VLOOKUP(F$6&amp;$C49,'◆（運営）③結果入力'!$D$16:$K$345,5,FALSE)),IF(VLOOKUP(F$6&amp;$C49,'◆（運営）③結果入力'!$E$16:$K$345,7,FALSE)="","",VLOOKUP(F$6&amp;$C49,'◆（運営）③結果入力'!$E$16:$K$345,7,FALSE)),IF(VLOOKUP(F$6&amp;$C49,'◆（運営）③結果入力'!$D$16:$K$345,5,FALSE)="","",VLOOKUP(F$6&amp;$C49,'◆（運営）③結果入力'!$D$16:$K$345,5,FALSE)))</f>
      </c>
      <c r="AB49" s="343">
        <f>IF(ISERROR(VLOOKUP(G$6&amp;$C49,'◆（運営）③結果入力'!$D$16:$K$345,5,FALSE)),IF(VLOOKUP(G$6&amp;$C49,'◆（運営）③結果入力'!$E$16:$K$345,7,FALSE)="","",VLOOKUP(G$6&amp;$C49,'◆（運営）③結果入力'!$E$16:$K$345,7,FALSE)),IF(VLOOKUP(G$6&amp;$C49,'◆（運営）③結果入力'!$D$16:$K$345,5,FALSE)="","",VLOOKUP(G$6&amp;$C49,'◆（運営）③結果入力'!$D$16:$K$345,5,FALSE)))</f>
      </c>
      <c r="AC49" s="343">
        <f>IF(ISERROR(VLOOKUP(H$6&amp;$C49,'◆（運営）③結果入力'!$D$16:$K$345,5,FALSE)),IF(VLOOKUP(H$6&amp;$C49,'◆（運営）③結果入力'!$E$16:$K$345,7,FALSE)="","",VLOOKUP(H$6&amp;$C49,'◆（運営）③結果入力'!$E$16:$K$345,7,FALSE)),IF(VLOOKUP(H$6&amp;$C49,'◆（運営）③結果入力'!$D$16:$K$345,5,FALSE)="","",VLOOKUP(H$6&amp;$C49,'◆（運営）③結果入力'!$D$16:$K$345,5,FALSE)))</f>
      </c>
      <c r="AD49" s="386"/>
      <c r="AE49" s="343">
        <f>IF(ISERROR(VLOOKUP(J$6&amp;$C49,'◆（運営）③結果入力'!$D$16:$K$345,5,FALSE)),IF(VLOOKUP(J$6&amp;$C49,'◆（運営）③結果入力'!$E$16:$K$345,7,FALSE)="","",VLOOKUP(J$6&amp;$C49,'◆（運営）③結果入力'!$E$16:$K$345,7,FALSE)),IF(VLOOKUP(J$6&amp;$C49,'◆（運営）③結果入力'!$D$16:$K$345,5,FALSE)="","",VLOOKUP(J$6&amp;$C49,'◆（運営）③結果入力'!$D$16:$K$345,5,FALSE)))</f>
      </c>
      <c r="AF49" s="343">
        <f>IF(ISERROR(VLOOKUP(K$6&amp;$C49,'◆（運営）③結果入力'!$D$16:$K$345,5,FALSE)),IF(VLOOKUP(K$6&amp;$C49,'◆（運営）③結果入力'!$E$16:$K$345,7,FALSE)="","",VLOOKUP(K$6&amp;$C49,'◆（運営）③結果入力'!$E$16:$K$345,7,FALSE)),IF(VLOOKUP(K$6&amp;$C49,'◆（運営）③結果入力'!$D$16:$K$345,5,FALSE)="","",VLOOKUP(K$6&amp;$C49,'◆（運営）③結果入力'!$D$16:$K$345,5,FALSE)))</f>
      </c>
      <c r="AG49" s="343">
        <f>IF(ISERROR(VLOOKUP(L$6&amp;$C49,'◆（運営）③結果入力'!$D$16:$K$345,5,FALSE)),IF(VLOOKUP(L$6&amp;$C49,'◆（運営）③結果入力'!$E$16:$K$345,7,FALSE)="","",VLOOKUP(L$6&amp;$C49,'◆（運営）③結果入力'!$E$16:$K$345,7,FALSE)),IF(VLOOKUP(L$6&amp;$C49,'◆（運営）③結果入力'!$D$16:$K$345,5,FALSE)="","",VLOOKUP(L$6&amp;$C49,'◆（運営）③結果入力'!$D$16:$K$345,5,FALSE)))</f>
      </c>
      <c r="AH49" s="343">
        <f>IF(ISERROR(VLOOKUP(M$6&amp;$C49,'◆（運営）③結果入力'!$D$16:$K$345,5,FALSE)),IF(VLOOKUP(M$6&amp;$C49,'◆（運営）③結果入力'!$E$16:$K$345,7,FALSE)="","",VLOOKUP(M$6&amp;$C49,'◆（運営）③結果入力'!$E$16:$K$345,7,FALSE)),IF(VLOOKUP(M$6&amp;$C49,'◆（運営）③結果入力'!$D$16:$K$345,5,FALSE)="","",VLOOKUP(M$6&amp;$C49,'◆（運営）③結果入力'!$D$16:$K$345,5,FALSE)))</f>
      </c>
      <c r="AI49" s="343">
        <f>IF(ISERROR(VLOOKUP(N$6&amp;$C49,'◆（運営）③結果入力'!$D$16:$K$345,5,FALSE)),IF(VLOOKUP(N$6&amp;$C49,'◆（運営）③結果入力'!$E$16:$K$345,7,FALSE)="","",VLOOKUP(N$6&amp;$C49,'◆（運営）③結果入力'!$E$16:$K$345,7,FALSE)),IF(VLOOKUP(N$6&amp;$C49,'◆（運営）③結果入力'!$D$16:$K$345,5,FALSE)="","",VLOOKUP(N$6&amp;$C49,'◆（運営）③結果入力'!$D$16:$K$345,5,FALSE)))</f>
      </c>
      <c r="AJ49" s="343">
        <f>IF(O45="","",IF(ISERROR(VLOOKUP(O$6&amp;$C49,'◆（運営）③結果入力'!$D$16:$K$345,5,FALSE)),IF(VLOOKUP(O$6&amp;$C49,'◆（運営）③結果入力'!$E$16:$K$345,7,FALSE)="","",VLOOKUP(O$6&amp;$C49,'◆（運営）③結果入力'!$E$16:$K$345,7,FALSE)),IF(VLOOKUP(O$6&amp;$C49,'◆（運営）③結果入力'!$D$16:$K$345,5,FALSE)="","",VLOOKUP(O$6&amp;$C49,'◆（運営）③結果入力'!$D$16:$K$345,5,FALSE))))</f>
      </c>
      <c r="AK49" s="343"/>
      <c r="AL49" s="344"/>
      <c r="AM49" s="345">
        <f t="shared" si="57"/>
      </c>
      <c r="AO49" s="335">
        <f t="shared" si="58"/>
        <v>0</v>
      </c>
      <c r="AP49" s="335">
        <f t="shared" si="59"/>
        <v>0</v>
      </c>
      <c r="AQ49" s="335">
        <f t="shared" si="60"/>
        <v>0</v>
      </c>
      <c r="AR49" s="335">
        <f t="shared" si="61"/>
        <v>0</v>
      </c>
      <c r="AS49" s="335">
        <f t="shared" si="62"/>
        <v>17</v>
      </c>
    </row>
    <row r="50" spans="1:45" ht="12" customHeight="1">
      <c r="A50" s="274">
        <v>5</v>
      </c>
      <c r="B50" s="315" t="str">
        <f t="shared" si="47"/>
        <v>和歌山</v>
      </c>
      <c r="C50" s="316" t="str">
        <f>IF(B50="","",VLOOKUP(B50,'ブロック表'!$C$4:$N$15,9,FALSE))</f>
        <v>丹次 力良</v>
      </c>
      <c r="D50" s="317"/>
      <c r="E50" s="318"/>
      <c r="F50" s="319">
        <f>IF(ISERROR(VLOOKUP(F$6&amp;$C50,'◆（運営）③結果入力'!$D$16:$I$345,6,FALSE)),IF(VLOOKUP(F$6&amp;$C50,'◆（運営）③結果入力'!$E$16:$J$345,6,FALSE)="","",VLOOKUP(F$6&amp;$C50,'◆（運営）③結果入力'!$E$16:$J$345,6,FALSE)),IF(VLOOKUP(F$6&amp;$C50,'◆（運営）③結果入力'!$D$16:$I$345,6,FALSE)="","",VLOOKUP(F$6&amp;$C50,'◆（運営）③結果入力'!$D$16:$I$345,6,FALSE)))</f>
        <v>27</v>
      </c>
      <c r="G50" s="320">
        <f>IF(ISERROR(VLOOKUP(G$6&amp;$C50,'◆（運営）③結果入力'!$D$16:$I$345,6,FALSE)),IF(VLOOKUP(G$6&amp;$C50,'◆（運営）③結果入力'!$E$16:$J$345,6,FALSE)="","",VLOOKUP(G$6&amp;$C50,'◆（運営）③結果入力'!$E$16:$J$345,6,FALSE)),IF(VLOOKUP(G$6&amp;$C50,'◆（運営）③結果入力'!$D$16:$I$345,6,FALSE)="","",VLOOKUP(G$6&amp;$C50,'◆（運営）③結果入力'!$D$16:$I$345,6,FALSE)))</f>
        <v>13</v>
      </c>
      <c r="H50" s="320">
        <f>IF(ISERROR(VLOOKUP(H$6&amp;$C50,'◆（運営）③結果入力'!$D$16:$I$345,6,FALSE)),IF(VLOOKUP(H$6&amp;$C50,'◆（運営）③結果入力'!$E$16:$J$345,6,FALSE)="","",VLOOKUP(H$6&amp;$C50,'◆（運営）③結果入力'!$E$16:$J$345,6,FALSE)),IF(VLOOKUP(H$6&amp;$C50,'◆（運営）③結果入力'!$D$16:$I$345,6,FALSE)="","",VLOOKUP(H$6&amp;$C50,'◆（運営）③結果入力'!$D$16:$I$345,6,FALSE)))</f>
        <v>47</v>
      </c>
      <c r="I50" s="320">
        <f>IF(ISERROR(VLOOKUP(I$6&amp;$C50,'◆（運営）③結果入力'!$D$16:$I$345,6,FALSE)),IF(VLOOKUP(I$6&amp;$C50,'◆（運営）③結果入力'!$E$16:$J$345,6,FALSE)="","",VLOOKUP(I$6&amp;$C50,'◆（運営）③結果入力'!$E$16:$J$345,6,FALSE)),IF(VLOOKUP(I$6&amp;$C50,'◆（運営）③結果入力'!$D$16:$I$345,6,FALSE)="","",VLOOKUP(I$6&amp;$C50,'◆（運営）③結果入力'!$D$16:$I$345,6,FALSE)))</f>
        <v>93</v>
      </c>
      <c r="J50" s="383"/>
      <c r="K50" s="320">
        <f>IF(ISERROR(VLOOKUP(K$6&amp;$C50,'◆（運営）③結果入力'!$D$16:$I$345,6,FALSE)),IF(VLOOKUP(K$6&amp;$C50,'◆（運営）③結果入力'!$E$16:$J$345,6,FALSE)="","",VLOOKUP(K$6&amp;$C50,'◆（運営）③結果入力'!$E$16:$J$345,6,FALSE)),IF(VLOOKUP(K$6&amp;$C50,'◆（運営）③結果入力'!$D$16:$I$345,6,FALSE)="","",VLOOKUP(K$6&amp;$C50,'◆（運営）③結果入力'!$D$16:$I$345,6,FALSE)))</f>
        <v>97</v>
      </c>
      <c r="L50" s="320">
        <f>IF(ISERROR(VLOOKUP(L$6&amp;$C50,'◆（運営）③結果入力'!$D$16:$I$345,6,FALSE)),IF(VLOOKUP(L$6&amp;$C50,'◆（運営）③結果入力'!$E$16:$J$345,6,FALSE)="","",VLOOKUP(L$6&amp;$C50,'◆（運営）③結果入力'!$E$16:$J$345,6,FALSE)),IF(VLOOKUP(L$6&amp;$C50,'◆（運営）③結果入力'!$D$16:$I$345,6,FALSE)="","",VLOOKUP(L$6&amp;$C50,'◆（運営）③結果入力'!$D$16:$I$345,6,FALSE)))</f>
        <v>67</v>
      </c>
      <c r="M50" s="320">
        <f>IF(ISERROR(VLOOKUP(M$6&amp;$C50,'◆（運営）③結果入力'!$D$16:$I$345,6,FALSE)),IF(VLOOKUP(M$6&amp;$C50,'◆（運営）③結果入力'!$E$16:$J$345,6,FALSE)="","",VLOOKUP(M$6&amp;$C50,'◆（運営）③結果入力'!$E$16:$J$345,6,FALSE)),IF(VLOOKUP(M$6&amp;$C50,'◆（運営）③結果入力'!$D$16:$I$345,6,FALSE)="","",VLOOKUP(M$6&amp;$C50,'◆（運営）③結果入力'!$D$16:$I$345,6,FALSE)))</f>
        <v>53</v>
      </c>
      <c r="N50" s="320">
        <f>IF(ISERROR(VLOOKUP(N$6&amp;$C50,'◆（運営）③結果入力'!$D$16:$I$345,6,FALSE)),IF(VLOOKUP(N$6&amp;$C50,'◆（運営）③結果入力'!$E$16:$J$345,6,FALSE)="","",VLOOKUP(N$6&amp;$C50,'◆（運営）③結果入力'!$E$16:$J$345,6,FALSE)),IF(VLOOKUP(N$6&amp;$C50,'◆（運営）③結果入力'!$D$16:$I$345,6,FALSE)="","",VLOOKUP(N$6&amp;$C50,'◆（運営）③結果入力'!$D$16:$I$345,6,FALSE)))</f>
        <v>116</v>
      </c>
      <c r="O50" s="320">
        <f>IF(O45="","",IF(ISERROR(VLOOKUP(O$6&amp;$C50,'◆（運営）③結果入力'!$D$16:$I$345,6,FALSE)),IF(VLOOKUP(O$6&amp;$C50,'◆（運営）③結果入力'!$E$16:$J$345,6,FALSE)="","",VLOOKUP(O$6&amp;$C50,'◆（運営）③結果入力'!$E$16:$J$345,6,FALSE)),IF(VLOOKUP(O$6&amp;$C50,'◆（運営）③結果入力'!$D$16:$I$345,6,FALSE)="","",VLOOKUP(O$6&amp;$C50,'◆（運営）③結果入力'!$D$16:$I$345,6,FALSE))))</f>
        <v>63</v>
      </c>
      <c r="P50" s="340">
        <f t="shared" si="48"/>
        <v>0</v>
      </c>
      <c r="Q50" s="200">
        <f t="shared" si="49"/>
        <v>9</v>
      </c>
      <c r="R50" s="341">
        <f t="shared" si="50"/>
        <v>576</v>
      </c>
      <c r="S50" s="341">
        <f>IF(COUNTBLANK(F50:O50)=10,"",SUM(J46:J55)+(Q50*120))</f>
        <v>1080</v>
      </c>
      <c r="T50" s="303">
        <f t="shared" si="51"/>
        <v>10</v>
      </c>
      <c r="U50" s="276">
        <f t="shared" si="52"/>
        <v>9</v>
      </c>
      <c r="V50" s="276">
        <f t="shared" si="53"/>
        <v>0</v>
      </c>
      <c r="W50" s="276">
        <f t="shared" si="54"/>
        <v>5758920</v>
      </c>
      <c r="X50" s="276">
        <f>IF(W50=0,"",IF(W50=MAX($W$11,$W$24,$W$37,$W$50,$W$63),1,""))</f>
      </c>
      <c r="Y50" s="276" t="str">
        <f t="shared" si="55"/>
        <v>和歌山</v>
      </c>
      <c r="Z50" s="276" t="str">
        <f t="shared" si="56"/>
        <v>丹次 力良</v>
      </c>
      <c r="AA50" s="342">
        <f>IF(ISERROR(VLOOKUP(F$6&amp;$C50,'◆（運営）③結果入力'!$D$16:$K$345,5,FALSE)),IF(VLOOKUP(F$6&amp;$C50,'◆（運営）③結果入力'!$E$16:$K$345,7,FALSE)="","",VLOOKUP(F$6&amp;$C50,'◆（運営）③結果入力'!$E$16:$K$345,7,FALSE)),IF(VLOOKUP(F$6&amp;$C50,'◆（運営）③結果入力'!$D$16:$K$345,5,FALSE)="","",VLOOKUP(F$6&amp;$C50,'◆（運営）③結果入力'!$D$16:$K$345,5,FALSE)))</f>
      </c>
      <c r="AB50" s="343">
        <f>IF(ISERROR(VLOOKUP(G$6&amp;$C50,'◆（運営）③結果入力'!$D$16:$K$345,5,FALSE)),IF(VLOOKUP(G$6&amp;$C50,'◆（運営）③結果入力'!$E$16:$K$345,7,FALSE)="","",VLOOKUP(G$6&amp;$C50,'◆（運営）③結果入力'!$E$16:$K$345,7,FALSE)),IF(VLOOKUP(G$6&amp;$C50,'◆（運営）③結果入力'!$D$16:$K$345,5,FALSE)="","",VLOOKUP(G$6&amp;$C50,'◆（運営）③結果入力'!$D$16:$K$345,5,FALSE)))</f>
      </c>
      <c r="AC50" s="343">
        <f>IF(ISERROR(VLOOKUP(H$6&amp;$C50,'◆（運営）③結果入力'!$D$16:$K$345,5,FALSE)),IF(VLOOKUP(H$6&amp;$C50,'◆（運営）③結果入力'!$E$16:$K$345,7,FALSE)="","",VLOOKUP(H$6&amp;$C50,'◆（運営）③結果入力'!$E$16:$K$345,7,FALSE)),IF(VLOOKUP(H$6&amp;$C50,'◆（運営）③結果入力'!$D$16:$K$345,5,FALSE)="","",VLOOKUP(H$6&amp;$C50,'◆（運営）③結果入力'!$D$16:$K$345,5,FALSE)))</f>
      </c>
      <c r="AD50" s="343">
        <f>IF(ISERROR(VLOOKUP(I$6&amp;$C50,'◆（運営）③結果入力'!$D$16:$K$345,5,FALSE)),IF(VLOOKUP(I$6&amp;$C50,'◆（運営）③結果入力'!$E$16:$K$345,7,FALSE)="","",VLOOKUP(I$6&amp;$C50,'◆（運営）③結果入力'!$E$16:$K$345,7,FALSE)),IF(VLOOKUP(I$6&amp;$C50,'◆（運営）③結果入力'!$D$16:$K$345,5,FALSE)="","",VLOOKUP(I$6&amp;$C50,'◆（運営）③結果入力'!$D$16:$K$345,5,FALSE)))</f>
      </c>
      <c r="AE50" s="386"/>
      <c r="AF50" s="343">
        <f>IF(ISERROR(VLOOKUP(K$6&amp;$C50,'◆（運営）③結果入力'!$D$16:$K$345,5,FALSE)),IF(VLOOKUP(K$6&amp;$C50,'◆（運営）③結果入力'!$E$16:$K$345,7,FALSE)="","",VLOOKUP(K$6&amp;$C50,'◆（運営）③結果入力'!$E$16:$K$345,7,FALSE)),IF(VLOOKUP(K$6&amp;$C50,'◆（運営）③結果入力'!$D$16:$K$345,5,FALSE)="","",VLOOKUP(K$6&amp;$C50,'◆（運営）③結果入力'!$D$16:$K$345,5,FALSE)))</f>
      </c>
      <c r="AG50" s="343">
        <f>IF(ISERROR(VLOOKUP(L$6&amp;$C50,'◆（運営）③結果入力'!$D$16:$K$345,5,FALSE)),IF(VLOOKUP(L$6&amp;$C50,'◆（運営）③結果入力'!$E$16:$K$345,7,FALSE)="","",VLOOKUP(L$6&amp;$C50,'◆（運営）③結果入力'!$E$16:$K$345,7,FALSE)),IF(VLOOKUP(L$6&amp;$C50,'◆（運営）③結果入力'!$D$16:$K$345,5,FALSE)="","",VLOOKUP(L$6&amp;$C50,'◆（運営）③結果入力'!$D$16:$K$345,5,FALSE)))</f>
      </c>
      <c r="AH50" s="343">
        <f>IF(ISERROR(VLOOKUP(M$6&amp;$C50,'◆（運営）③結果入力'!$D$16:$K$345,5,FALSE)),IF(VLOOKUP(M$6&amp;$C50,'◆（運営）③結果入力'!$E$16:$K$345,7,FALSE)="","",VLOOKUP(M$6&amp;$C50,'◆（運営）③結果入力'!$E$16:$K$345,7,FALSE)),IF(VLOOKUP(M$6&amp;$C50,'◆（運営）③結果入力'!$D$16:$K$345,5,FALSE)="","",VLOOKUP(M$6&amp;$C50,'◆（運営）③結果入力'!$D$16:$K$345,5,FALSE)))</f>
      </c>
      <c r="AI50" s="343">
        <f>IF(ISERROR(VLOOKUP(N$6&amp;$C50,'◆（運営）③結果入力'!$D$16:$K$345,5,FALSE)),IF(VLOOKUP(N$6&amp;$C50,'◆（運営）③結果入力'!$E$16:$K$345,7,FALSE)="","",VLOOKUP(N$6&amp;$C50,'◆（運営）③結果入力'!$E$16:$K$345,7,FALSE)),IF(VLOOKUP(N$6&amp;$C50,'◆（運営）③結果入力'!$D$16:$K$345,5,FALSE)="","",VLOOKUP(N$6&amp;$C50,'◆（運営）③結果入力'!$D$16:$K$345,5,FALSE)))</f>
      </c>
      <c r="AJ50" s="343">
        <f>IF(O45="","",IF(ISERROR(VLOOKUP(O$6&amp;$C50,'◆（運営）③結果入力'!$D$16:$K$345,5,FALSE)),IF(VLOOKUP(O$6&amp;$C50,'◆（運営）③結果入力'!$E$16:$K$345,7,FALSE)="","",VLOOKUP(O$6&amp;$C50,'◆（運営）③結果入力'!$E$16:$K$345,7,FALSE)),IF(VLOOKUP(O$6&amp;$C50,'◆（運営）③結果入力'!$D$16:$K$345,5,FALSE)="","",VLOOKUP(O$6&amp;$C50,'◆（運営）③結果入力'!$D$16:$K$345,5,FALSE))))</f>
      </c>
      <c r="AK50" s="343"/>
      <c r="AL50" s="344"/>
      <c r="AM50" s="345">
        <f t="shared" si="57"/>
      </c>
      <c r="AO50" s="335">
        <f t="shared" si="58"/>
        <v>0</v>
      </c>
      <c r="AP50" s="335">
        <f t="shared" si="59"/>
        <v>0</v>
      </c>
      <c r="AQ50" s="335">
        <f t="shared" si="60"/>
        <v>0</v>
      </c>
      <c r="AR50" s="335">
        <f t="shared" si="61"/>
        <v>0</v>
      </c>
      <c r="AS50" s="335">
        <f t="shared" si="62"/>
        <v>17</v>
      </c>
    </row>
    <row r="51" spans="1:45" ht="12" customHeight="1">
      <c r="A51" s="274">
        <v>6</v>
      </c>
      <c r="B51" s="315" t="str">
        <f t="shared" si="47"/>
        <v>滋賀</v>
      </c>
      <c r="C51" s="316" t="str">
        <f>IF(B51="","",VLOOKUP(B51,'ブロック表'!$C$4:$N$15,9,FALSE))</f>
        <v>長田 智紀</v>
      </c>
      <c r="D51" s="317"/>
      <c r="E51" s="318"/>
      <c r="F51" s="319" t="str">
        <f>IF(ISERROR(VLOOKUP(F$6&amp;$C51,'◆（運営）③結果入力'!$D$16:$I$345,6,FALSE)),IF(VLOOKUP(F$6&amp;$C51,'◆（運営）③結果入力'!$E$16:$J$345,6,FALSE)="","",VLOOKUP(F$6&amp;$C51,'◆（運営）③結果入力'!$E$16:$J$345,6,FALSE)),IF(VLOOKUP(F$6&amp;$C51,'◆（運営）③結果入力'!$D$16:$I$345,6,FALSE)="","",VLOOKUP(F$6&amp;$C51,'◆（運営）③結果入力'!$D$16:$I$345,6,FALSE)))</f>
        <v>W</v>
      </c>
      <c r="G51" s="320">
        <f>IF(ISERROR(VLOOKUP(G$6&amp;$C51,'◆（運営）③結果入力'!$D$16:$I$345,6,FALSE)),IF(VLOOKUP(G$6&amp;$C51,'◆（運営）③結果入力'!$E$16:$J$345,6,FALSE)="","",VLOOKUP(G$6&amp;$C51,'◆（運営）③結果入力'!$E$16:$J$345,6,FALSE)),IF(VLOOKUP(G$6&amp;$C51,'◆（運営）③結果入力'!$D$16:$I$345,6,FALSE)="","",VLOOKUP(G$6&amp;$C51,'◆（運営）③結果入力'!$D$16:$I$345,6,FALSE)))</f>
        <v>84</v>
      </c>
      <c r="H51" s="320">
        <f>IF(ISERROR(VLOOKUP(H$6&amp;$C51,'◆（運営）③結果入力'!$D$16:$I$345,6,FALSE)),IF(VLOOKUP(H$6&amp;$C51,'◆（運営）③結果入力'!$E$16:$J$345,6,FALSE)="","",VLOOKUP(H$6&amp;$C51,'◆（運営）③結果入力'!$E$16:$J$345,6,FALSE)),IF(VLOOKUP(H$6&amp;$C51,'◆（運営）③結果入力'!$D$16:$I$345,6,FALSE)="","",VLOOKUP(H$6&amp;$C51,'◆（運営）③結果入力'!$D$16:$I$345,6,FALSE)))</f>
        <v>87</v>
      </c>
      <c r="I51" s="320">
        <f>IF(ISERROR(VLOOKUP(I$6&amp;$C51,'◆（運営）③結果入力'!$D$16:$I$345,6,FALSE)),IF(VLOOKUP(I$6&amp;$C51,'◆（運営）③結果入力'!$E$16:$J$345,6,FALSE)="","",VLOOKUP(I$6&amp;$C51,'◆（運営）③結果入力'!$E$16:$J$345,6,FALSE)),IF(VLOOKUP(I$6&amp;$C51,'◆（運営）③結果入力'!$D$16:$I$345,6,FALSE)="","",VLOOKUP(I$6&amp;$C51,'◆（運営）③結果入力'!$D$16:$I$345,6,FALSE)))</f>
        <v>18</v>
      </c>
      <c r="J51" s="320" t="str">
        <f>IF(ISERROR(VLOOKUP(J$6&amp;$C51,'◆（運営）③結果入力'!$D$16:$I$345,6,FALSE)),IF(VLOOKUP(J$6&amp;$C51,'◆（運営）③結果入力'!$E$16:$J$345,6,FALSE)="","",VLOOKUP(J$6&amp;$C51,'◆（運営）③結果入力'!$E$16:$J$345,6,FALSE)),IF(VLOOKUP(J$6&amp;$C51,'◆（運営）③結果入力'!$D$16:$I$345,6,FALSE)="","",VLOOKUP(J$6&amp;$C51,'◆（運営）③結果入力'!$D$16:$I$345,6,FALSE)))</f>
        <v>W</v>
      </c>
      <c r="K51" s="383"/>
      <c r="L51" s="320">
        <f>IF(ISERROR(VLOOKUP(L$6&amp;$C51,'◆（運営）③結果入力'!$D$16:$I$345,6,FALSE)),IF(VLOOKUP(L$6&amp;$C51,'◆（運営）③結果入力'!$E$16:$J$345,6,FALSE)="","",VLOOKUP(L$6&amp;$C51,'◆（運営）③結果入力'!$E$16:$J$345,6,FALSE)),IF(VLOOKUP(L$6&amp;$C51,'◆（運営）③結果入力'!$D$16:$I$345,6,FALSE)="","",VLOOKUP(L$6&amp;$C51,'◆（運営）③結果入力'!$D$16:$I$345,6,FALSE)))</f>
        <v>85</v>
      </c>
      <c r="M51" s="320" t="str">
        <f>IF(ISERROR(VLOOKUP(M$6&amp;$C51,'◆（運営）③結果入力'!$D$16:$I$345,6,FALSE)),IF(VLOOKUP(M$6&amp;$C51,'◆（運営）③結果入力'!$E$16:$J$345,6,FALSE)="","",VLOOKUP(M$6&amp;$C51,'◆（運営）③結果入力'!$E$16:$J$345,6,FALSE)),IF(VLOOKUP(M$6&amp;$C51,'◆（運営）③結果入力'!$D$16:$I$345,6,FALSE)="","",VLOOKUP(M$6&amp;$C51,'◆（運営）③結果入力'!$D$16:$I$345,6,FALSE)))</f>
        <v>W</v>
      </c>
      <c r="N51" s="320" t="str">
        <f>IF(ISERROR(VLOOKUP(N$6&amp;$C51,'◆（運営）③結果入力'!$D$16:$I$345,6,FALSE)),IF(VLOOKUP(N$6&amp;$C51,'◆（運営）③結果入力'!$E$16:$J$345,6,FALSE)="","",VLOOKUP(N$6&amp;$C51,'◆（運営）③結果入力'!$E$16:$J$345,6,FALSE)),IF(VLOOKUP(N$6&amp;$C51,'◆（運営）③結果入力'!$D$16:$I$345,6,FALSE)="","",VLOOKUP(N$6&amp;$C51,'◆（運営）③結果入力'!$D$16:$I$345,6,FALSE)))</f>
        <v>W</v>
      </c>
      <c r="O51" s="320">
        <f>IF(O45="","",IF(ISERROR(VLOOKUP(O$6&amp;$C51,'◆（運営）③結果入力'!$D$16:$I$345,6,FALSE)),IF(VLOOKUP(O$6&amp;$C51,'◆（運営）③結果入力'!$E$16:$J$345,6,FALSE)="","",VLOOKUP(O$6&amp;$C51,'◆（運営）③結果入力'!$E$16:$J$345,6,FALSE)),IF(VLOOKUP(O$6&amp;$C51,'◆（運営）③結果入力'!$D$16:$I$345,6,FALSE)="","",VLOOKUP(O$6&amp;$C51,'◆（運営）③結果入力'!$D$16:$I$345,6,FALSE))))</f>
        <v>104</v>
      </c>
      <c r="P51" s="340">
        <f t="shared" si="48"/>
        <v>4</v>
      </c>
      <c r="Q51" s="200">
        <f t="shared" si="49"/>
        <v>5</v>
      </c>
      <c r="R51" s="341">
        <f t="shared" si="50"/>
        <v>858</v>
      </c>
      <c r="S51" s="341">
        <f>IF(COUNTBLANK(F51:O51)=10,"",SUM(K46:K55)+(Q51*120))</f>
        <v>910</v>
      </c>
      <c r="T51" s="303">
        <f t="shared" si="51"/>
        <v>6</v>
      </c>
      <c r="U51" s="276">
        <f t="shared" si="52"/>
        <v>9</v>
      </c>
      <c r="V51" s="276">
        <f t="shared" si="53"/>
        <v>0</v>
      </c>
      <c r="W51" s="276">
        <f t="shared" si="54"/>
        <v>408579090</v>
      </c>
      <c r="X51" s="276">
        <f>IF(W51=0,"",IF(W51=MAX($W$12,$W$25,$W$38,$W$51,$W$64),1,""))</f>
      </c>
      <c r="Y51" s="276" t="str">
        <f t="shared" si="55"/>
        <v>滋賀</v>
      </c>
      <c r="Z51" s="276" t="str">
        <f t="shared" si="56"/>
        <v>長田 智紀</v>
      </c>
      <c r="AA51" s="342">
        <f>IF(ISERROR(VLOOKUP(F$6&amp;$C51,'◆（運営）③結果入力'!$D$16:$K$345,5,FALSE)),IF(VLOOKUP(F$6&amp;$C51,'◆（運営）③結果入力'!$E$16:$K$345,7,FALSE)="","",VLOOKUP(F$6&amp;$C51,'◆（運営）③結果入力'!$E$16:$K$345,7,FALSE)),IF(VLOOKUP(F$6&amp;$C51,'◆（運営）③結果入力'!$D$16:$K$345,5,FALSE)="","",VLOOKUP(F$6&amp;$C51,'◆（運営）③結果入力'!$D$16:$K$345,5,FALSE)))</f>
      </c>
      <c r="AB51" s="343">
        <f>IF(ISERROR(VLOOKUP(G$6&amp;$C51,'◆（運営）③結果入力'!$D$16:$K$345,5,FALSE)),IF(VLOOKUP(G$6&amp;$C51,'◆（運営）③結果入力'!$E$16:$K$345,7,FALSE)="","",VLOOKUP(G$6&amp;$C51,'◆（運営）③結果入力'!$E$16:$K$345,7,FALSE)),IF(VLOOKUP(G$6&amp;$C51,'◆（運営）③結果入力'!$D$16:$K$345,5,FALSE)="","",VLOOKUP(G$6&amp;$C51,'◆（運営）③結果入力'!$D$16:$K$345,5,FALSE)))</f>
      </c>
      <c r="AC51" s="343">
        <f>IF(ISERROR(VLOOKUP(H$6&amp;$C51,'◆（運営）③結果入力'!$D$16:$K$345,5,FALSE)),IF(VLOOKUP(H$6&amp;$C51,'◆（運営）③結果入力'!$E$16:$K$345,7,FALSE)="","",VLOOKUP(H$6&amp;$C51,'◆（運営）③結果入力'!$E$16:$K$345,7,FALSE)),IF(VLOOKUP(H$6&amp;$C51,'◆（運営）③結果入力'!$D$16:$K$345,5,FALSE)="","",VLOOKUP(H$6&amp;$C51,'◆（運営）③結果入力'!$D$16:$K$345,5,FALSE)))</f>
      </c>
      <c r="AD51" s="343">
        <f>IF(ISERROR(VLOOKUP(I$6&amp;$C51,'◆（運営）③結果入力'!$D$16:$K$345,5,FALSE)),IF(VLOOKUP(I$6&amp;$C51,'◆（運営）③結果入力'!$E$16:$K$345,7,FALSE)="","",VLOOKUP(I$6&amp;$C51,'◆（運営）③結果入力'!$E$16:$K$345,7,FALSE)),IF(VLOOKUP(I$6&amp;$C51,'◆（運営）③結果入力'!$D$16:$K$345,5,FALSE)="","",VLOOKUP(I$6&amp;$C51,'◆（運営）③結果入力'!$D$16:$K$345,5,FALSE)))</f>
      </c>
      <c r="AE51" s="343">
        <f>IF(ISERROR(VLOOKUP(J$6&amp;$C51,'◆（運営）③結果入力'!$D$16:$K$345,5,FALSE)),IF(VLOOKUP(J$6&amp;$C51,'◆（運営）③結果入力'!$E$16:$K$345,7,FALSE)="","",VLOOKUP(J$6&amp;$C51,'◆（運営）③結果入力'!$E$16:$K$345,7,FALSE)),IF(VLOOKUP(J$6&amp;$C51,'◆（運営）③結果入力'!$D$16:$K$345,5,FALSE)="","",VLOOKUP(J$6&amp;$C51,'◆（運営）③結果入力'!$D$16:$K$345,5,FALSE)))</f>
      </c>
      <c r="AF51" s="386"/>
      <c r="AG51" s="343">
        <f>IF(ISERROR(VLOOKUP(L$6&amp;$C51,'◆（運営）③結果入力'!$D$16:$K$345,5,FALSE)),IF(VLOOKUP(L$6&amp;$C51,'◆（運営）③結果入力'!$E$16:$K$345,7,FALSE)="","",VLOOKUP(L$6&amp;$C51,'◆（運営）③結果入力'!$E$16:$K$345,7,FALSE)),IF(VLOOKUP(L$6&amp;$C51,'◆（運営）③結果入力'!$D$16:$K$345,5,FALSE)="","",VLOOKUP(L$6&amp;$C51,'◆（運営）③結果入力'!$D$16:$K$345,5,FALSE)))</f>
      </c>
      <c r="AH51" s="343">
        <f>IF(ISERROR(VLOOKUP(M$6&amp;$C51,'◆（運営）③結果入力'!$D$16:$K$345,5,FALSE)),IF(VLOOKUP(M$6&amp;$C51,'◆（運営）③結果入力'!$E$16:$K$345,7,FALSE)="","",VLOOKUP(M$6&amp;$C51,'◆（運営）③結果入力'!$E$16:$K$345,7,FALSE)),IF(VLOOKUP(M$6&amp;$C51,'◆（運営）③結果入力'!$D$16:$K$345,5,FALSE)="","",VLOOKUP(M$6&amp;$C51,'◆（運営）③結果入力'!$D$16:$K$345,5,FALSE)))</f>
      </c>
      <c r="AI51" s="343">
        <f>IF(ISERROR(VLOOKUP(N$6&amp;$C51,'◆（運営）③結果入力'!$D$16:$K$345,5,FALSE)),IF(VLOOKUP(N$6&amp;$C51,'◆（運営）③結果入力'!$E$16:$K$345,7,FALSE)="","",VLOOKUP(N$6&amp;$C51,'◆（運営）③結果入力'!$E$16:$K$345,7,FALSE)),IF(VLOOKUP(N$6&amp;$C51,'◆（運営）③結果入力'!$D$16:$K$345,5,FALSE)="","",VLOOKUP(N$6&amp;$C51,'◆（運営）③結果入力'!$D$16:$K$345,5,FALSE)))</f>
      </c>
      <c r="AJ51" s="343">
        <f>IF(O45="","",IF(ISERROR(VLOOKUP(O$6&amp;$C51,'◆（運営）③結果入力'!$D$16:$K$345,5,FALSE)),IF(VLOOKUP(O$6&amp;$C51,'◆（運営）③結果入力'!$E$16:$K$345,7,FALSE)="","",VLOOKUP(O$6&amp;$C51,'◆（運営）③結果入力'!$E$16:$K$345,7,FALSE)),IF(VLOOKUP(O$6&amp;$C51,'◆（運営）③結果入力'!$D$16:$K$345,5,FALSE)="","",VLOOKUP(O$6&amp;$C51,'◆（運営）③結果入力'!$D$16:$K$345,5,FALSE))))</f>
      </c>
      <c r="AK51" s="343"/>
      <c r="AL51" s="344"/>
      <c r="AM51" s="345">
        <f t="shared" si="57"/>
      </c>
      <c r="AO51" s="335">
        <f t="shared" si="58"/>
        <v>0</v>
      </c>
      <c r="AP51" s="335">
        <f t="shared" si="59"/>
        <v>0</v>
      </c>
      <c r="AQ51" s="335">
        <f t="shared" si="60"/>
        <v>0</v>
      </c>
      <c r="AR51" s="335">
        <f t="shared" si="61"/>
        <v>0</v>
      </c>
      <c r="AS51" s="335">
        <f t="shared" si="62"/>
        <v>17</v>
      </c>
    </row>
    <row r="52" spans="1:45" ht="12" customHeight="1">
      <c r="A52" s="274">
        <v>7</v>
      </c>
      <c r="B52" s="315" t="str">
        <f t="shared" si="47"/>
        <v>奈良</v>
      </c>
      <c r="C52" s="316" t="str">
        <f>IF(B52="","",VLOOKUP(B52,'ブロック表'!$C$4:$N$15,9,FALSE))</f>
        <v>植田 慎也</v>
      </c>
      <c r="D52" s="317"/>
      <c r="E52" s="318"/>
      <c r="F52" s="319">
        <f>IF(ISERROR(VLOOKUP(F$6&amp;$C52,'◆（運営）③結果入力'!$D$16:$I$345,6,FALSE)),IF(VLOOKUP(F$6&amp;$C52,'◆（運営）③結果入力'!$E$16:$J$345,6,FALSE)="","",VLOOKUP(F$6&amp;$C52,'◆（運営）③結果入力'!$E$16:$J$345,6,FALSE)),IF(VLOOKUP(F$6&amp;$C52,'◆（運営）③結果入力'!$D$16:$I$345,6,FALSE)="","",VLOOKUP(F$6&amp;$C52,'◆（運営）③結果入力'!$D$16:$I$345,6,FALSE)))</f>
        <v>38</v>
      </c>
      <c r="G52" s="320">
        <f>IF(ISERROR(VLOOKUP(G$6&amp;$C52,'◆（運営）③結果入力'!$D$16:$I$345,6,FALSE)),IF(VLOOKUP(G$6&amp;$C52,'◆（運営）③結果入力'!$E$16:$J$345,6,FALSE)="","",VLOOKUP(G$6&amp;$C52,'◆（運営）③結果入力'!$E$16:$J$345,6,FALSE)),IF(VLOOKUP(G$6&amp;$C52,'◆（運営）③結果入力'!$D$16:$I$345,6,FALSE)="","",VLOOKUP(G$6&amp;$C52,'◆（運営）③結果入力'!$D$16:$I$345,6,FALSE)))</f>
        <v>107</v>
      </c>
      <c r="H52" s="320">
        <f>IF(ISERROR(VLOOKUP(H$6&amp;$C52,'◆（運営）③結果入力'!$D$16:$I$345,6,FALSE)),IF(VLOOKUP(H$6&amp;$C52,'◆（運営）③結果入力'!$E$16:$J$345,6,FALSE)="","",VLOOKUP(H$6&amp;$C52,'◆（運営）③結果入力'!$E$16:$J$345,6,FALSE)),IF(VLOOKUP(H$6&amp;$C52,'◆（運営）③結果入力'!$D$16:$I$345,6,FALSE)="","",VLOOKUP(H$6&amp;$C52,'◆（運営）③結果入力'!$D$16:$I$345,6,FALSE)))</f>
        <v>52</v>
      </c>
      <c r="I52" s="320">
        <f>IF(ISERROR(VLOOKUP(I$6&amp;$C52,'◆（運営）③結果入力'!$D$16:$I$345,6,FALSE)),IF(VLOOKUP(I$6&amp;$C52,'◆（運営）③結果入力'!$E$16:$J$345,6,FALSE)="","",VLOOKUP(I$6&amp;$C52,'◆（運営）③結果入力'!$E$16:$J$345,6,FALSE)),IF(VLOOKUP(I$6&amp;$C52,'◆（運営）③結果入力'!$D$16:$I$345,6,FALSE)="","",VLOOKUP(I$6&amp;$C52,'◆（運営）③結果入力'!$D$16:$I$345,6,FALSE)))</f>
        <v>105</v>
      </c>
      <c r="J52" s="320" t="str">
        <f>IF(ISERROR(VLOOKUP(J$6&amp;$C52,'◆（運営）③結果入力'!$D$16:$I$345,6,FALSE)),IF(VLOOKUP(J$6&amp;$C52,'◆（運営）③結果入力'!$E$16:$J$345,6,FALSE)="","",VLOOKUP(J$6&amp;$C52,'◆（運営）③結果入力'!$E$16:$J$345,6,FALSE)),IF(VLOOKUP(J$6&amp;$C52,'◆（運営）③結果入力'!$D$16:$I$345,6,FALSE)="","",VLOOKUP(J$6&amp;$C52,'◆（運営）③結果入力'!$D$16:$I$345,6,FALSE)))</f>
        <v>W</v>
      </c>
      <c r="K52" s="320" t="str">
        <f>IF(ISERROR(VLOOKUP(K$6&amp;$C52,'◆（運営）③結果入力'!$D$16:$I$345,6,FALSE)),IF(VLOOKUP(K$6&amp;$C52,'◆（運営）③結果入力'!$E$16:$J$345,6,FALSE)="","",VLOOKUP(K$6&amp;$C52,'◆（運営）③結果入力'!$E$16:$J$345,6,FALSE)),IF(VLOOKUP(K$6&amp;$C52,'◆（運営）③結果入力'!$D$16:$I$345,6,FALSE)="","",VLOOKUP(K$6&amp;$C52,'◆（運営）③結果入力'!$D$16:$I$345,6,FALSE)))</f>
        <v>W</v>
      </c>
      <c r="L52" s="383"/>
      <c r="M52" s="320" t="str">
        <f>IF(ISERROR(VLOOKUP(M$6&amp;$C52,'◆（運営）③結果入力'!$D$16:$I$345,6,FALSE)),IF(VLOOKUP(M$6&amp;$C52,'◆（運営）③結果入力'!$E$16:$J$345,6,FALSE)="","",VLOOKUP(M$6&amp;$C52,'◆（運営）③結果入力'!$E$16:$J$345,6,FALSE)),IF(VLOOKUP(M$6&amp;$C52,'◆（運営）③結果入力'!$D$16:$I$345,6,FALSE)="","",VLOOKUP(M$6&amp;$C52,'◆（運営）③結果入力'!$D$16:$I$345,6,FALSE)))</f>
        <v>W</v>
      </c>
      <c r="N52" s="320">
        <f>IF(ISERROR(VLOOKUP(N$6&amp;$C52,'◆（運営）③結果入力'!$D$16:$I$345,6,FALSE)),IF(VLOOKUP(N$6&amp;$C52,'◆（運営）③結果入力'!$E$16:$J$345,6,FALSE)="","",VLOOKUP(N$6&amp;$C52,'◆（運営）③結果入力'!$E$16:$J$345,6,FALSE)),IF(VLOOKUP(N$6&amp;$C52,'◆（運営）③結果入力'!$D$16:$I$345,6,FALSE)="","",VLOOKUP(N$6&amp;$C52,'◆（運営）③結果入力'!$D$16:$I$345,6,FALSE)))</f>
        <v>95</v>
      </c>
      <c r="O52" s="320">
        <f>IF(O45="","",IF(ISERROR(VLOOKUP(O$6&amp;$C52,'◆（運営）③結果入力'!$D$16:$I$345,6,FALSE)),IF(VLOOKUP(O$6&amp;$C52,'◆（運営）③結果入力'!$E$16:$J$345,6,FALSE)="","",VLOOKUP(O$6&amp;$C52,'◆（運営）③結果入力'!$E$16:$J$345,6,FALSE)),IF(VLOOKUP(O$6&amp;$C52,'◆（運営）③結果入力'!$D$16:$I$345,6,FALSE)="","",VLOOKUP(O$6&amp;$C52,'◆（運営）③結果入力'!$D$16:$I$345,6,FALSE))))</f>
        <v>64</v>
      </c>
      <c r="P52" s="340">
        <f t="shared" si="48"/>
        <v>3</v>
      </c>
      <c r="Q52" s="200">
        <f t="shared" si="49"/>
        <v>6</v>
      </c>
      <c r="R52" s="341">
        <f t="shared" si="50"/>
        <v>821</v>
      </c>
      <c r="S52" s="341">
        <f>IF(COUNTBLANK(F52:O52)=10,"",SUM(L46:L55)+(Q52*120))</f>
        <v>965</v>
      </c>
      <c r="T52" s="303">
        <f t="shared" si="51"/>
        <v>9</v>
      </c>
      <c r="U52" s="276">
        <f t="shared" si="52"/>
        <v>9</v>
      </c>
      <c r="V52" s="276">
        <f t="shared" si="53"/>
        <v>0</v>
      </c>
      <c r="W52" s="276">
        <f t="shared" si="54"/>
        <v>308209035</v>
      </c>
      <c r="X52" s="276">
        <f>IF(W52=0,"",IF(W52=MAX($W$13,$W$26,$W$39,$W$52,$W$65),1,""))</f>
      </c>
      <c r="Y52" s="276" t="str">
        <f t="shared" si="55"/>
        <v>奈良</v>
      </c>
      <c r="Z52" s="276" t="str">
        <f t="shared" si="56"/>
        <v>植田 慎也</v>
      </c>
      <c r="AA52" s="342">
        <f>IF(ISERROR(VLOOKUP(F$6&amp;$C52,'◆（運営）③結果入力'!$D$16:$K$345,5,FALSE)),IF(VLOOKUP(F$6&amp;$C52,'◆（運営）③結果入力'!$E$16:$K$345,7,FALSE)="","",VLOOKUP(F$6&amp;$C52,'◆（運営）③結果入力'!$E$16:$K$345,7,FALSE)),IF(VLOOKUP(F$6&amp;$C52,'◆（運営）③結果入力'!$D$16:$K$345,5,FALSE)="","",VLOOKUP(F$6&amp;$C52,'◆（運営）③結果入力'!$D$16:$K$345,5,FALSE)))</f>
      </c>
      <c r="AB52" s="343">
        <f>IF(ISERROR(VLOOKUP(G$6&amp;$C52,'◆（運営）③結果入力'!$D$16:$K$345,5,FALSE)),IF(VLOOKUP(G$6&amp;$C52,'◆（運営）③結果入力'!$E$16:$K$345,7,FALSE)="","",VLOOKUP(G$6&amp;$C52,'◆（運営）③結果入力'!$E$16:$K$345,7,FALSE)),IF(VLOOKUP(G$6&amp;$C52,'◆（運営）③結果入力'!$D$16:$K$345,5,FALSE)="","",VLOOKUP(G$6&amp;$C52,'◆（運営）③結果入力'!$D$16:$K$345,5,FALSE)))</f>
      </c>
      <c r="AC52" s="343">
        <f>IF(ISERROR(VLOOKUP(H$6&amp;$C52,'◆（運営）③結果入力'!$D$16:$K$345,5,FALSE)),IF(VLOOKUP(H$6&amp;$C52,'◆（運営）③結果入力'!$E$16:$K$345,7,FALSE)="","",VLOOKUP(H$6&amp;$C52,'◆（運営）③結果入力'!$E$16:$K$345,7,FALSE)),IF(VLOOKUP(H$6&amp;$C52,'◆（運営）③結果入力'!$D$16:$K$345,5,FALSE)="","",VLOOKUP(H$6&amp;$C52,'◆（運営）③結果入力'!$D$16:$K$345,5,FALSE)))</f>
      </c>
      <c r="AD52" s="343">
        <f>IF(ISERROR(VLOOKUP(I$6&amp;$C52,'◆（運営）③結果入力'!$D$16:$K$345,5,FALSE)),IF(VLOOKUP(I$6&amp;$C52,'◆（運営）③結果入力'!$E$16:$K$345,7,FALSE)="","",VLOOKUP(I$6&amp;$C52,'◆（運営）③結果入力'!$E$16:$K$345,7,FALSE)),IF(VLOOKUP(I$6&amp;$C52,'◆（運営）③結果入力'!$D$16:$K$345,5,FALSE)="","",VLOOKUP(I$6&amp;$C52,'◆（運営）③結果入力'!$D$16:$K$345,5,FALSE)))</f>
      </c>
      <c r="AE52" s="343">
        <f>IF(ISERROR(VLOOKUP(J$6&amp;$C52,'◆（運営）③結果入力'!$D$16:$K$345,5,FALSE)),IF(VLOOKUP(J$6&amp;$C52,'◆（運営）③結果入力'!$E$16:$K$345,7,FALSE)="","",VLOOKUP(J$6&amp;$C52,'◆（運営）③結果入力'!$E$16:$K$345,7,FALSE)),IF(VLOOKUP(J$6&amp;$C52,'◆（運営）③結果入力'!$D$16:$K$345,5,FALSE)="","",VLOOKUP(J$6&amp;$C52,'◆（運営）③結果入力'!$D$16:$K$345,5,FALSE)))</f>
      </c>
      <c r="AF52" s="343">
        <f>IF(ISERROR(VLOOKUP(K$6&amp;$C52,'◆（運営）③結果入力'!$D$16:$K$345,5,FALSE)),IF(VLOOKUP(K$6&amp;$C52,'◆（運営）③結果入力'!$E$16:$K$345,7,FALSE)="","",VLOOKUP(K$6&amp;$C52,'◆（運営）③結果入力'!$E$16:$K$345,7,FALSE)),IF(VLOOKUP(K$6&amp;$C52,'◆（運営）③結果入力'!$D$16:$K$345,5,FALSE)="","",VLOOKUP(K$6&amp;$C52,'◆（運営）③結果入力'!$D$16:$K$345,5,FALSE)))</f>
      </c>
      <c r="AG52" s="386"/>
      <c r="AH52" s="343">
        <f>IF(ISERROR(VLOOKUP(M$6&amp;$C52,'◆（運営）③結果入力'!$D$16:$K$345,5,FALSE)),IF(VLOOKUP(M$6&amp;$C52,'◆（運営）③結果入力'!$E$16:$K$345,7,FALSE)="","",VLOOKUP(M$6&amp;$C52,'◆（運営）③結果入力'!$E$16:$K$345,7,FALSE)),IF(VLOOKUP(M$6&amp;$C52,'◆（運営）③結果入力'!$D$16:$K$345,5,FALSE)="","",VLOOKUP(M$6&amp;$C52,'◆（運営）③結果入力'!$D$16:$K$345,5,FALSE)))</f>
      </c>
      <c r="AI52" s="343">
        <f>IF(ISERROR(VLOOKUP(N$6&amp;$C52,'◆（運営）③結果入力'!$D$16:$K$345,5,FALSE)),IF(VLOOKUP(N$6&amp;$C52,'◆（運営）③結果入力'!$E$16:$K$345,7,FALSE)="","",VLOOKUP(N$6&amp;$C52,'◆（運営）③結果入力'!$E$16:$K$345,7,FALSE)),IF(VLOOKUP(N$6&amp;$C52,'◆（運営）③結果入力'!$D$16:$K$345,5,FALSE)="","",VLOOKUP(N$6&amp;$C52,'◆（運営）③結果入力'!$D$16:$K$345,5,FALSE)))</f>
      </c>
      <c r="AJ52" s="343">
        <f>IF(O45="","",IF(ISERROR(VLOOKUP(O$6&amp;$C52,'◆（運営）③結果入力'!$D$16:$K$345,5,FALSE)),IF(VLOOKUP(O$6&amp;$C52,'◆（運営）③結果入力'!$E$16:$K$345,7,FALSE)="","",VLOOKUP(O$6&amp;$C52,'◆（運営）③結果入力'!$E$16:$K$345,7,FALSE)),IF(VLOOKUP(O$6&amp;$C52,'◆（運営）③結果入力'!$D$16:$K$345,5,FALSE)="","",VLOOKUP(O$6&amp;$C52,'◆（運営）③結果入力'!$D$16:$K$345,5,FALSE))))</f>
      </c>
      <c r="AK52" s="343"/>
      <c r="AL52" s="344"/>
      <c r="AM52" s="345">
        <f t="shared" si="57"/>
      </c>
      <c r="AO52" s="335">
        <f t="shared" si="58"/>
        <v>0</v>
      </c>
      <c r="AP52" s="335">
        <f t="shared" si="59"/>
        <v>0</v>
      </c>
      <c r="AQ52" s="335">
        <f t="shared" si="60"/>
        <v>0</v>
      </c>
      <c r="AR52" s="335">
        <f t="shared" si="61"/>
        <v>0</v>
      </c>
      <c r="AS52" s="335">
        <f t="shared" si="62"/>
        <v>17</v>
      </c>
    </row>
    <row r="53" spans="1:45" ht="12" customHeight="1">
      <c r="A53" s="274">
        <v>8</v>
      </c>
      <c r="B53" s="315" t="str">
        <f t="shared" si="47"/>
        <v>三重</v>
      </c>
      <c r="C53" s="316" t="str">
        <f>IF(B53="","",VLOOKUP(B53,'ブロック表'!$C$4:$N$15,9,FALSE))</f>
        <v>杉本 諭</v>
      </c>
      <c r="D53" s="317"/>
      <c r="E53" s="318"/>
      <c r="F53" s="319" t="str">
        <f>IF(ISERROR(VLOOKUP(F$6&amp;$C53,'◆（運営）③結果入力'!$D$16:$I$345,6,FALSE)),IF(VLOOKUP(F$6&amp;$C53,'◆（運営）③結果入力'!$E$16:$J$345,6,FALSE)="","",VLOOKUP(F$6&amp;$C53,'◆（運営）③結果入力'!$E$16:$J$345,6,FALSE)),IF(VLOOKUP(F$6&amp;$C53,'◆（運営）③結果入力'!$D$16:$I$345,6,FALSE)="","",VLOOKUP(F$6&amp;$C53,'◆（運営）③結果入力'!$D$16:$I$345,6,FALSE)))</f>
        <v>W</v>
      </c>
      <c r="G53" s="320" t="str">
        <f>IF(ISERROR(VLOOKUP(G$6&amp;$C53,'◆（運営）③結果入力'!$D$16:$I$345,6,FALSE)),IF(VLOOKUP(G$6&amp;$C53,'◆（運営）③結果入力'!$E$16:$J$345,6,FALSE)="","",VLOOKUP(G$6&amp;$C53,'◆（運営）③結果入力'!$E$16:$J$345,6,FALSE)),IF(VLOOKUP(G$6&amp;$C53,'◆（運営）③結果入力'!$D$16:$I$345,6,FALSE)="","",VLOOKUP(G$6&amp;$C53,'◆（運営）③結果入力'!$D$16:$I$345,6,FALSE)))</f>
        <v>W</v>
      </c>
      <c r="H53" s="320" t="str">
        <f>IF(ISERROR(VLOOKUP(H$6&amp;$C53,'◆（運営）③結果入力'!$D$16:$I$345,6,FALSE)),IF(VLOOKUP(H$6&amp;$C53,'◆（運営）③結果入力'!$E$16:$J$345,6,FALSE)="","",VLOOKUP(H$6&amp;$C53,'◆（運営）③結果入力'!$E$16:$J$345,6,FALSE)),IF(VLOOKUP(H$6&amp;$C53,'◆（運営）③結果入力'!$D$16:$I$345,6,FALSE)="","",VLOOKUP(H$6&amp;$C53,'◆（運営）③結果入力'!$D$16:$I$345,6,FALSE)))</f>
        <v>W</v>
      </c>
      <c r="I53" s="320" t="str">
        <f>IF(ISERROR(VLOOKUP(I$6&amp;$C53,'◆（運営）③結果入力'!$D$16:$I$345,6,FALSE)),IF(VLOOKUP(I$6&amp;$C53,'◆（運営）③結果入力'!$E$16:$J$345,6,FALSE)="","",VLOOKUP(I$6&amp;$C53,'◆（運営）③結果入力'!$E$16:$J$345,6,FALSE)),IF(VLOOKUP(I$6&amp;$C53,'◆（運営）③結果入力'!$D$16:$I$345,6,FALSE)="","",VLOOKUP(I$6&amp;$C53,'◆（運営）③結果入力'!$D$16:$I$345,6,FALSE)))</f>
        <v>W</v>
      </c>
      <c r="J53" s="320" t="str">
        <f>IF(ISERROR(VLOOKUP(J$6&amp;$C53,'◆（運営）③結果入力'!$D$16:$I$345,6,FALSE)),IF(VLOOKUP(J$6&amp;$C53,'◆（運営）③結果入力'!$E$16:$J$345,6,FALSE)="","",VLOOKUP(J$6&amp;$C53,'◆（運営）③結果入力'!$E$16:$J$345,6,FALSE)),IF(VLOOKUP(J$6&amp;$C53,'◆（運営）③結果入力'!$D$16:$I$345,6,FALSE)="","",VLOOKUP(J$6&amp;$C53,'◆（運営）③結果入力'!$D$16:$I$345,6,FALSE)))</f>
        <v>W</v>
      </c>
      <c r="K53" s="320">
        <f>IF(ISERROR(VLOOKUP(K$6&amp;$C53,'◆（運営）③結果入力'!$D$16:$I$345,6,FALSE)),IF(VLOOKUP(K$6&amp;$C53,'◆（運営）③結果入力'!$E$16:$J$345,6,FALSE)="","",VLOOKUP(K$6&amp;$C53,'◆（運営）③結果入力'!$E$16:$J$345,6,FALSE)),IF(VLOOKUP(K$6&amp;$C53,'◆（運営）③結果入力'!$D$16:$I$345,6,FALSE)="","",VLOOKUP(K$6&amp;$C53,'◆（運営）③結果入力'!$D$16:$I$345,6,FALSE)))</f>
        <v>93</v>
      </c>
      <c r="L53" s="320">
        <f>IF(ISERROR(VLOOKUP(L$6&amp;$C53,'◆（運営）③結果入力'!$D$16:$I$345,6,FALSE)),IF(VLOOKUP(L$6&amp;$C53,'◆（運営）③結果入力'!$E$16:$J$345,6,FALSE)="","",VLOOKUP(L$6&amp;$C53,'◆（運営）③結果入力'!$E$16:$J$345,6,FALSE)),IF(VLOOKUP(L$6&amp;$C53,'◆（運営）③結果入力'!$D$16:$I$345,6,FALSE)="","",VLOOKUP(L$6&amp;$C53,'◆（運営）③結果入力'!$D$16:$I$345,6,FALSE)))</f>
        <v>93</v>
      </c>
      <c r="M53" s="383"/>
      <c r="N53" s="320" t="str">
        <f>IF(ISERROR(VLOOKUP(N$6&amp;$C53,'◆（運営）③結果入力'!$D$16:$I$345,6,FALSE)),IF(VLOOKUP(N$6&amp;$C53,'◆（運営）③結果入力'!$E$16:$J$345,6,FALSE)="","",VLOOKUP(N$6&amp;$C53,'◆（運営）③結果入力'!$E$16:$J$345,6,FALSE)),IF(VLOOKUP(N$6&amp;$C53,'◆（運営）③結果入力'!$D$16:$I$345,6,FALSE)="","",VLOOKUP(N$6&amp;$C53,'◆（運営）③結果入力'!$D$16:$I$345,6,FALSE)))</f>
        <v>W</v>
      </c>
      <c r="O53" s="320">
        <f>IF(O45="","",IF(ISERROR(VLOOKUP(O$6&amp;$C53,'◆（運営）③結果入力'!$D$16:$I$345,6,FALSE)),IF(VLOOKUP(O$6&amp;$C53,'◆（運営）③結果入力'!$E$16:$J$345,6,FALSE)="","",VLOOKUP(O$6&amp;$C53,'◆（運営）③結果入力'!$E$16:$J$345,6,FALSE)),IF(VLOOKUP(O$6&amp;$C53,'◆（運営）③結果入力'!$D$16:$I$345,6,FALSE)="","",VLOOKUP(O$6&amp;$C53,'◆（運営）③結果入力'!$D$16:$I$345,6,FALSE))))</f>
        <v>90</v>
      </c>
      <c r="P53" s="340">
        <f t="shared" si="48"/>
        <v>6</v>
      </c>
      <c r="Q53" s="200">
        <f t="shared" si="49"/>
        <v>3</v>
      </c>
      <c r="R53" s="341">
        <f t="shared" si="50"/>
        <v>996</v>
      </c>
      <c r="S53" s="341">
        <f>IF(COUNTBLANK(F53:O53)=10,"",SUM(M46:M55)+(Q53*120))</f>
        <v>594</v>
      </c>
      <c r="T53" s="303">
        <f t="shared" si="51"/>
        <v>3</v>
      </c>
      <c r="U53" s="276">
        <f t="shared" si="52"/>
        <v>9</v>
      </c>
      <c r="V53" s="276">
        <f t="shared" si="53"/>
        <v>0</v>
      </c>
      <c r="W53" s="276">
        <f t="shared" si="54"/>
        <v>609959406</v>
      </c>
      <c r="X53" s="276">
        <f>IF(W53=0,"",IF(W53=MAX($W$14,$W$27,$W$40,$W$53,$W$66),1,""))</f>
        <v>1</v>
      </c>
      <c r="Y53" s="276" t="str">
        <f t="shared" si="55"/>
        <v>1三重</v>
      </c>
      <c r="Z53" s="276" t="str">
        <f t="shared" si="56"/>
        <v>杉本 諭</v>
      </c>
      <c r="AA53" s="342">
        <f>IF(ISERROR(VLOOKUP(F$6&amp;$C53,'◆（運営）③結果入力'!$D$16:$K$345,5,FALSE)),IF(VLOOKUP(F$6&amp;$C53,'◆（運営）③結果入力'!$E$16:$K$345,7,FALSE)="","",VLOOKUP(F$6&amp;$C53,'◆（運営）③結果入力'!$E$16:$K$345,7,FALSE)),IF(VLOOKUP(F$6&amp;$C53,'◆（運営）③結果入力'!$D$16:$K$345,5,FALSE)="","",VLOOKUP(F$6&amp;$C53,'◆（運営）③結果入力'!$D$16:$K$345,5,FALSE)))</f>
      </c>
      <c r="AB53" s="343">
        <f>IF(ISERROR(VLOOKUP(G$6&amp;$C53,'◆（運営）③結果入力'!$D$16:$K$345,5,FALSE)),IF(VLOOKUP(G$6&amp;$C53,'◆（運営）③結果入力'!$E$16:$K$345,7,FALSE)="","",VLOOKUP(G$6&amp;$C53,'◆（運営）③結果入力'!$E$16:$K$345,7,FALSE)),IF(VLOOKUP(G$6&amp;$C53,'◆（運営）③結果入力'!$D$16:$K$345,5,FALSE)="","",VLOOKUP(G$6&amp;$C53,'◆（運営）③結果入力'!$D$16:$K$345,5,FALSE)))</f>
      </c>
      <c r="AC53" s="343">
        <f>IF(ISERROR(VLOOKUP(H$6&amp;$C53,'◆（運営）③結果入力'!$D$16:$K$345,5,FALSE)),IF(VLOOKUP(H$6&amp;$C53,'◆（運営）③結果入力'!$E$16:$K$345,7,FALSE)="","",VLOOKUP(H$6&amp;$C53,'◆（運営）③結果入力'!$E$16:$K$345,7,FALSE)),IF(VLOOKUP(H$6&amp;$C53,'◆（運営）③結果入力'!$D$16:$K$345,5,FALSE)="","",VLOOKUP(H$6&amp;$C53,'◆（運営）③結果入力'!$D$16:$K$345,5,FALSE)))</f>
      </c>
      <c r="AD53" s="343">
        <f>IF(ISERROR(VLOOKUP(I$6&amp;$C53,'◆（運営）③結果入力'!$D$16:$K$345,5,FALSE)),IF(VLOOKUP(I$6&amp;$C53,'◆（運営）③結果入力'!$E$16:$K$345,7,FALSE)="","",VLOOKUP(I$6&amp;$C53,'◆（運営）③結果入力'!$E$16:$K$345,7,FALSE)),IF(VLOOKUP(I$6&amp;$C53,'◆（運営）③結果入力'!$D$16:$K$345,5,FALSE)="","",VLOOKUP(I$6&amp;$C53,'◆（運営）③結果入力'!$D$16:$K$345,5,FALSE)))</f>
      </c>
      <c r="AE53" s="343">
        <f>IF(ISERROR(VLOOKUP(J$6&amp;$C53,'◆（運営）③結果入力'!$D$16:$K$345,5,FALSE)),IF(VLOOKUP(J$6&amp;$C53,'◆（運営）③結果入力'!$E$16:$K$345,7,FALSE)="","",VLOOKUP(J$6&amp;$C53,'◆（運営）③結果入力'!$E$16:$K$345,7,FALSE)),IF(VLOOKUP(J$6&amp;$C53,'◆（運営）③結果入力'!$D$16:$K$345,5,FALSE)="","",VLOOKUP(J$6&amp;$C53,'◆（運営）③結果入力'!$D$16:$K$345,5,FALSE)))</f>
      </c>
      <c r="AF53" s="343">
        <f>IF(ISERROR(VLOOKUP(K$6&amp;$C53,'◆（運営）③結果入力'!$D$16:$K$345,5,FALSE)),IF(VLOOKUP(K$6&amp;$C53,'◆（運営）③結果入力'!$E$16:$K$345,7,FALSE)="","",VLOOKUP(K$6&amp;$C53,'◆（運営）③結果入力'!$E$16:$K$345,7,FALSE)),IF(VLOOKUP(K$6&amp;$C53,'◆（運営）③結果入力'!$D$16:$K$345,5,FALSE)="","",VLOOKUP(K$6&amp;$C53,'◆（運営）③結果入力'!$D$16:$K$345,5,FALSE)))</f>
      </c>
      <c r="AG53" s="343">
        <f>IF(ISERROR(VLOOKUP(L$6&amp;$C53,'◆（運営）③結果入力'!$D$16:$K$345,5,FALSE)),IF(VLOOKUP(L$6&amp;$C53,'◆（運営）③結果入力'!$E$16:$K$345,7,FALSE)="","",VLOOKUP(L$6&amp;$C53,'◆（運営）③結果入力'!$E$16:$K$345,7,FALSE)),IF(VLOOKUP(L$6&amp;$C53,'◆（運営）③結果入力'!$D$16:$K$345,5,FALSE)="","",VLOOKUP(L$6&amp;$C53,'◆（運営）③結果入力'!$D$16:$K$345,5,FALSE)))</f>
      </c>
      <c r="AH53" s="386"/>
      <c r="AI53" s="343">
        <f>IF(ISERROR(VLOOKUP(N$6&amp;$C53,'◆（運営）③結果入力'!$D$16:$K$345,5,FALSE)),IF(VLOOKUP(N$6&amp;$C53,'◆（運営）③結果入力'!$E$16:$K$345,7,FALSE)="","",VLOOKUP(N$6&amp;$C53,'◆（運営）③結果入力'!$E$16:$K$345,7,FALSE)),IF(VLOOKUP(N$6&amp;$C53,'◆（運営）③結果入力'!$D$16:$K$345,5,FALSE)="","",VLOOKUP(N$6&amp;$C53,'◆（運営）③結果入力'!$D$16:$K$345,5,FALSE)))</f>
      </c>
      <c r="AJ53" s="343">
        <f>IF(O45="","",IF(ISERROR(VLOOKUP(O$6&amp;$C53,'◆（運営）③結果入力'!$D$16:$K$345,5,FALSE)),IF(VLOOKUP(O$6&amp;$C53,'◆（運営）③結果入力'!$E$16:$K$345,7,FALSE)="","",VLOOKUP(O$6&amp;$C53,'◆（運営）③結果入力'!$E$16:$K$345,7,FALSE)),IF(VLOOKUP(O$6&amp;$C53,'◆（運営）③結果入力'!$D$16:$K$345,5,FALSE)="","",VLOOKUP(O$6&amp;$C53,'◆（運営）③結果入力'!$D$16:$K$345,5,FALSE))))</f>
      </c>
      <c r="AK53" s="343"/>
      <c r="AL53" s="344"/>
      <c r="AM53" s="345">
        <f t="shared" si="57"/>
      </c>
      <c r="AO53" s="335">
        <f t="shared" si="58"/>
        <v>0</v>
      </c>
      <c r="AP53" s="335">
        <f t="shared" si="59"/>
        <v>0</v>
      </c>
      <c r="AQ53" s="335">
        <f t="shared" si="60"/>
        <v>0</v>
      </c>
      <c r="AR53" s="335">
        <f t="shared" si="61"/>
        <v>0</v>
      </c>
      <c r="AS53" s="335">
        <f t="shared" si="62"/>
        <v>17</v>
      </c>
    </row>
    <row r="54" spans="1:45" ht="12" customHeight="1">
      <c r="A54" s="274">
        <v>9</v>
      </c>
      <c r="B54" s="315" t="str">
        <f t="shared" si="47"/>
        <v>岐阜</v>
      </c>
      <c r="C54" s="316" t="str">
        <f>IF(B54="","",VLOOKUP(B54,'ブロック表'!$C$4:$N$15,9,FALSE))</f>
        <v>高橋 浩之</v>
      </c>
      <c r="D54" s="317"/>
      <c r="E54" s="318"/>
      <c r="F54" s="319">
        <f>IF(ISERROR(VLOOKUP(F$6&amp;$C54,'◆（運営）③結果入力'!$D$16:$I$345,6,FALSE)),IF(VLOOKUP(F$6&amp;$C54,'◆（運営）③結果入力'!$E$16:$J$345,6,FALSE)="","",VLOOKUP(F$6&amp;$C54,'◆（運営）③結果入力'!$E$16:$J$345,6,FALSE)),IF(VLOOKUP(F$6&amp;$C54,'◆（運営）③結果入力'!$D$16:$I$345,6,FALSE)="","",VLOOKUP(F$6&amp;$C54,'◆（運営）③結果入力'!$D$16:$I$345,6,FALSE)))</f>
        <v>92</v>
      </c>
      <c r="G54" s="320" t="str">
        <f>IF(ISERROR(VLOOKUP(G$6&amp;$C54,'◆（運営）③結果入力'!$D$16:$I$345,6,FALSE)),IF(VLOOKUP(G$6&amp;$C54,'◆（運営）③結果入力'!$E$16:$J$345,6,FALSE)="","",VLOOKUP(G$6&amp;$C54,'◆（運営）③結果入力'!$E$16:$J$345,6,FALSE)),IF(VLOOKUP(G$6&amp;$C54,'◆（運営）③結果入力'!$D$16:$I$345,6,FALSE)="","",VLOOKUP(G$6&amp;$C54,'◆（運営）③結果入力'!$D$16:$I$345,6,FALSE)))</f>
        <v>W</v>
      </c>
      <c r="H54" s="320">
        <f>IF(ISERROR(VLOOKUP(H$6&amp;$C54,'◆（運営）③結果入力'!$D$16:$I$345,6,FALSE)),IF(VLOOKUP(H$6&amp;$C54,'◆（運営）③結果入力'!$E$16:$J$345,6,FALSE)="","",VLOOKUP(H$6&amp;$C54,'◆（運営）③結果入力'!$E$16:$J$345,6,FALSE)),IF(VLOOKUP(H$6&amp;$C54,'◆（運営）③結果入力'!$D$16:$I$345,6,FALSE)="","",VLOOKUP(H$6&amp;$C54,'◆（運営）③結果入力'!$D$16:$I$345,6,FALSE)))</f>
        <v>44</v>
      </c>
      <c r="I54" s="320">
        <f>IF(ISERROR(VLOOKUP(I$6&amp;$C54,'◆（運営）③結果入力'!$D$16:$I$345,6,FALSE)),IF(VLOOKUP(I$6&amp;$C54,'◆（運営）③結果入力'!$E$16:$J$345,6,FALSE)="","",VLOOKUP(I$6&amp;$C54,'◆（運営）③結果入力'!$E$16:$J$345,6,FALSE)),IF(VLOOKUP(I$6&amp;$C54,'◆（運営）③結果入力'!$D$16:$I$345,6,FALSE)="","",VLOOKUP(I$6&amp;$C54,'◆（運営）③結果入力'!$D$16:$I$345,6,FALSE)))</f>
        <v>19</v>
      </c>
      <c r="J54" s="320" t="str">
        <f>IF(ISERROR(VLOOKUP(J$6&amp;$C54,'◆（運営）③結果入力'!$D$16:$I$345,6,FALSE)),IF(VLOOKUP(J$6&amp;$C54,'◆（運営）③結果入力'!$E$16:$J$345,6,FALSE)="","",VLOOKUP(J$6&amp;$C54,'◆（運営）③結果入力'!$E$16:$J$345,6,FALSE)),IF(VLOOKUP(J$6&amp;$C54,'◆（運営）③結果入力'!$D$16:$I$345,6,FALSE)="","",VLOOKUP(J$6&amp;$C54,'◆（運営）③結果入力'!$D$16:$I$345,6,FALSE)))</f>
        <v>W</v>
      </c>
      <c r="K54" s="320">
        <f>IF(ISERROR(VLOOKUP(K$6&amp;$C54,'◆（運営）③結果入力'!$D$16:$I$345,6,FALSE)),IF(VLOOKUP(K$6&amp;$C54,'◆（運営）③結果入力'!$E$16:$J$345,6,FALSE)="","",VLOOKUP(K$6&amp;$C54,'◆（運営）③結果入力'!$E$16:$J$345,6,FALSE)),IF(VLOOKUP(K$6&amp;$C54,'◆（運営）③結果入力'!$D$16:$I$345,6,FALSE)="","",VLOOKUP(K$6&amp;$C54,'◆（運営）③結果入力'!$D$16:$I$345,6,FALSE)))</f>
        <v>103</v>
      </c>
      <c r="L54" s="320" t="str">
        <f>IF(ISERROR(VLOOKUP(L$6&amp;$C54,'◆（運営）③結果入力'!$D$16:$I$345,6,FALSE)),IF(VLOOKUP(L$6&amp;$C54,'◆（運営）③結果入力'!$E$16:$J$345,6,FALSE)="","",VLOOKUP(L$6&amp;$C54,'◆（運営）③結果入力'!$E$16:$J$345,6,FALSE)),IF(VLOOKUP(L$6&amp;$C54,'◆（運営）③結果入力'!$D$16:$I$345,6,FALSE)="","",VLOOKUP(L$6&amp;$C54,'◆（運営）③結果入力'!$D$16:$I$345,6,FALSE)))</f>
        <v>W</v>
      </c>
      <c r="M54" s="320">
        <f>IF(ISERROR(VLOOKUP(M$6&amp;$C54,'◆（運営）③結果入力'!$D$16:$I$345,6,FALSE)),IF(VLOOKUP(M$6&amp;$C54,'◆（運営）③結果入力'!$E$16:$J$345,6,FALSE)="","",VLOOKUP(M$6&amp;$C54,'◆（運営）③結果入力'!$E$16:$J$345,6,FALSE)),IF(VLOOKUP(M$6&amp;$C54,'◆（運営）③結果入力'!$D$16:$I$345,6,FALSE)="","",VLOOKUP(M$6&amp;$C54,'◆（運営）③結果入力'!$D$16:$I$345,6,FALSE)))</f>
        <v>2</v>
      </c>
      <c r="N54" s="383"/>
      <c r="O54" s="320" t="str">
        <f>IF(O45="","",IF(ISERROR(VLOOKUP(O$6&amp;$C54,'◆（運営）③結果入力'!$D$16:$I$345,6,FALSE)),IF(VLOOKUP(O$6&amp;$C54,'◆（運営）③結果入力'!$E$16:$J$345,6,FALSE)="","",VLOOKUP(O$6&amp;$C54,'◆（運営）③結果入力'!$E$16:$J$345,6,FALSE)),IF(VLOOKUP(O$6&amp;$C54,'◆（運営）③結果入力'!$D$16:$I$345,6,FALSE)="","",VLOOKUP(O$6&amp;$C54,'◆（運営）③結果入力'!$D$16:$I$345,6,FALSE))))</f>
        <v>W</v>
      </c>
      <c r="P54" s="340">
        <f t="shared" si="48"/>
        <v>4</v>
      </c>
      <c r="Q54" s="200">
        <f t="shared" si="49"/>
        <v>5</v>
      </c>
      <c r="R54" s="341">
        <f t="shared" si="50"/>
        <v>740</v>
      </c>
      <c r="S54" s="341">
        <f>IF(COUNTBLANK(F54:O54)=10,"",SUM(N46:N55)+(Q54*120))</f>
        <v>889</v>
      </c>
      <c r="T54" s="303">
        <f t="shared" si="51"/>
        <v>7</v>
      </c>
      <c r="U54" s="276">
        <f t="shared" si="52"/>
        <v>9</v>
      </c>
      <c r="V54" s="276">
        <f t="shared" si="53"/>
        <v>0</v>
      </c>
      <c r="W54" s="276">
        <f t="shared" si="54"/>
        <v>407399111</v>
      </c>
      <c r="X54" s="276">
        <f>IF(W54=0,"",IF(W54=MAX($W$15,$W$28,$W$41,$W$54,$W$67),1,""))</f>
      </c>
      <c r="Y54" s="276" t="str">
        <f t="shared" si="55"/>
        <v>岐阜</v>
      </c>
      <c r="Z54" s="276" t="str">
        <f t="shared" si="56"/>
        <v>高橋 浩之</v>
      </c>
      <c r="AA54" s="342">
        <f>IF(ISERROR(VLOOKUP(F$6&amp;$C54,'◆（運営）③結果入力'!$D$16:$K$345,5,FALSE)),IF(VLOOKUP(F$6&amp;$C54,'◆（運営）③結果入力'!$E$16:$K$345,7,FALSE)="","",VLOOKUP(F$6&amp;$C54,'◆（運営）③結果入力'!$E$16:$K$345,7,FALSE)),IF(VLOOKUP(F$6&amp;$C54,'◆（運営）③結果入力'!$D$16:$K$345,5,FALSE)="","",VLOOKUP(F$6&amp;$C54,'◆（運営）③結果入力'!$D$16:$K$345,5,FALSE)))</f>
      </c>
      <c r="AB54" s="343">
        <f>IF(ISERROR(VLOOKUP(G$6&amp;$C54,'◆（運営）③結果入力'!$D$16:$K$345,5,FALSE)),IF(VLOOKUP(G$6&amp;$C54,'◆（運営）③結果入力'!$E$16:$K$345,7,FALSE)="","",VLOOKUP(G$6&amp;$C54,'◆（運営）③結果入力'!$E$16:$K$345,7,FALSE)),IF(VLOOKUP(G$6&amp;$C54,'◆（運営）③結果入力'!$D$16:$K$345,5,FALSE)="","",VLOOKUP(G$6&amp;$C54,'◆（運営）③結果入力'!$D$16:$K$345,5,FALSE)))</f>
      </c>
      <c r="AC54" s="343">
        <f>IF(ISERROR(VLOOKUP(H$6&amp;$C54,'◆（運営）③結果入力'!$D$16:$K$345,5,FALSE)),IF(VLOOKUP(H$6&amp;$C54,'◆（運営）③結果入力'!$E$16:$K$345,7,FALSE)="","",VLOOKUP(H$6&amp;$C54,'◆（運営）③結果入力'!$E$16:$K$345,7,FALSE)),IF(VLOOKUP(H$6&amp;$C54,'◆（運営）③結果入力'!$D$16:$K$345,5,FALSE)="","",VLOOKUP(H$6&amp;$C54,'◆（運営）③結果入力'!$D$16:$K$345,5,FALSE)))</f>
      </c>
      <c r="AD54" s="343">
        <f>IF(ISERROR(VLOOKUP(I$6&amp;$C54,'◆（運営）③結果入力'!$D$16:$K$345,5,FALSE)),IF(VLOOKUP(I$6&amp;$C54,'◆（運営）③結果入力'!$E$16:$K$345,7,FALSE)="","",VLOOKUP(I$6&amp;$C54,'◆（運営）③結果入力'!$E$16:$K$345,7,FALSE)),IF(VLOOKUP(I$6&amp;$C54,'◆（運営）③結果入力'!$D$16:$K$345,5,FALSE)="","",VLOOKUP(I$6&amp;$C54,'◆（運営）③結果入力'!$D$16:$K$345,5,FALSE)))</f>
      </c>
      <c r="AE54" s="343">
        <f>IF(ISERROR(VLOOKUP(J$6&amp;$C54,'◆（運営）③結果入力'!$D$16:$K$345,5,FALSE)),IF(VLOOKUP(J$6&amp;$C54,'◆（運営）③結果入力'!$E$16:$K$345,7,FALSE)="","",VLOOKUP(J$6&amp;$C54,'◆（運営）③結果入力'!$E$16:$K$345,7,FALSE)),IF(VLOOKUP(J$6&amp;$C54,'◆（運営）③結果入力'!$D$16:$K$345,5,FALSE)="","",VLOOKUP(J$6&amp;$C54,'◆（運営）③結果入力'!$D$16:$K$345,5,FALSE)))</f>
      </c>
      <c r="AF54" s="343">
        <f>IF(ISERROR(VLOOKUP(K$6&amp;$C54,'◆（運営）③結果入力'!$D$16:$K$345,5,FALSE)),IF(VLOOKUP(K$6&amp;$C54,'◆（運営）③結果入力'!$E$16:$K$345,7,FALSE)="","",VLOOKUP(K$6&amp;$C54,'◆（運営）③結果入力'!$E$16:$K$345,7,FALSE)),IF(VLOOKUP(K$6&amp;$C54,'◆（運営）③結果入力'!$D$16:$K$345,5,FALSE)="","",VLOOKUP(K$6&amp;$C54,'◆（運営）③結果入力'!$D$16:$K$345,5,FALSE)))</f>
      </c>
      <c r="AG54" s="343">
        <f>IF(ISERROR(VLOOKUP(L$6&amp;$C54,'◆（運営）③結果入力'!$D$16:$K$345,5,FALSE)),IF(VLOOKUP(L$6&amp;$C54,'◆（運営）③結果入力'!$E$16:$K$345,7,FALSE)="","",VLOOKUP(L$6&amp;$C54,'◆（運営）③結果入力'!$E$16:$K$345,7,FALSE)),IF(VLOOKUP(L$6&amp;$C54,'◆（運営）③結果入力'!$D$16:$K$345,5,FALSE)="","",VLOOKUP(L$6&amp;$C54,'◆（運営）③結果入力'!$D$16:$K$345,5,FALSE)))</f>
      </c>
      <c r="AH54" s="343">
        <f>IF(ISERROR(VLOOKUP(M$6&amp;$C54,'◆（運営）③結果入力'!$D$16:$K$345,5,FALSE)),IF(VLOOKUP(M$6&amp;$C54,'◆（運営）③結果入力'!$E$16:$K$345,7,FALSE)="","",VLOOKUP(M$6&amp;$C54,'◆（運営）③結果入力'!$E$16:$K$345,7,FALSE)),IF(VLOOKUP(M$6&amp;$C54,'◆（運営）③結果入力'!$D$16:$K$345,5,FALSE)="","",VLOOKUP(M$6&amp;$C54,'◆（運営）③結果入力'!$D$16:$K$345,5,FALSE)))</f>
      </c>
      <c r="AI54" s="386"/>
      <c r="AJ54" s="343">
        <f>IF(O45="","",IF(ISERROR(VLOOKUP(O$6&amp;$C54,'◆（運営）③結果入力'!$D$16:$K$345,5,FALSE)),IF(VLOOKUP(O$6&amp;$C54,'◆（運営）③結果入力'!$E$16:$K$345,7,FALSE)="","",VLOOKUP(O$6&amp;$C54,'◆（運営）③結果入力'!$E$16:$K$345,7,FALSE)),IF(VLOOKUP(O$6&amp;$C54,'◆（運営）③結果入力'!$D$16:$K$345,5,FALSE)="","",VLOOKUP(O$6&amp;$C54,'◆（運営）③結果入力'!$D$16:$K$345,5,FALSE))))</f>
      </c>
      <c r="AK54" s="343"/>
      <c r="AL54" s="344"/>
      <c r="AM54" s="345">
        <f t="shared" si="57"/>
      </c>
      <c r="AO54" s="335">
        <f t="shared" si="58"/>
        <v>0</v>
      </c>
      <c r="AP54" s="335">
        <f t="shared" si="59"/>
        <v>0</v>
      </c>
      <c r="AQ54" s="335">
        <f t="shared" si="60"/>
        <v>0</v>
      </c>
      <c r="AR54" s="335">
        <f t="shared" si="61"/>
        <v>0</v>
      </c>
      <c r="AS54" s="335">
        <f t="shared" si="62"/>
        <v>17</v>
      </c>
    </row>
    <row r="55" spans="1:45" ht="12.75" customHeight="1">
      <c r="A55" s="274">
        <v>10</v>
      </c>
      <c r="B55" s="321" t="str">
        <f t="shared" si="47"/>
        <v>大阪B</v>
      </c>
      <c r="C55" s="322" t="str">
        <f>IF(B55="","",VLOOKUP(B55,'ブロック表'!$C$4:$N$15,9,FALSE))</f>
        <v>山崎 真紀子</v>
      </c>
      <c r="D55" s="323"/>
      <c r="E55" s="324"/>
      <c r="F55" s="325">
        <f>IF(C55="","",IF(ISERROR(VLOOKUP(F$6&amp;$C55,'◆（運営）③結果入力'!$D$16:$I$345,6,FALSE)),IF(VLOOKUP(F$6&amp;$C55,'◆（運営）③結果入力'!$E$16:$J$345,6,FALSE)="","",VLOOKUP(F$6&amp;$C55,'◆（運営）③結果入力'!$E$16:$J$345,6,FALSE)),IF(VLOOKUP(F$6&amp;$C55,'◆（運営）③結果入力'!$D$16:$I$345,6,FALSE)="","",VLOOKUP(F$6&amp;$C55,'◆（運営）③結果入力'!$D$16:$I$345,6,FALSE))))</f>
        <v>13</v>
      </c>
      <c r="G55" s="327">
        <f>IF(C55="","",IF(ISERROR(VLOOKUP(G$6&amp;$C55,'◆（運営）③結果入力'!$D$16:$I$345,6,FALSE)),IF(VLOOKUP(G$6&amp;$C55,'◆（運営）③結果入力'!$E$16:$J$345,6,FALSE)="","",VLOOKUP(G$6&amp;$C55,'◆（運営）③結果入力'!$E$16:$J$345,6,FALSE)),IF(VLOOKUP(G$6&amp;$C55,'◆（運営）③結果入力'!$D$16:$I$345,6,FALSE)="","",VLOOKUP(G$6&amp;$C55,'◆（運営）③結果入力'!$D$16:$I$345,6,FALSE))))</f>
        <v>86</v>
      </c>
      <c r="H55" s="327">
        <f>IF(C55="","",IF(ISERROR(VLOOKUP(H$6&amp;$C55,'◆（運営）③結果入力'!$D$16:$I$345,6,FALSE)),IF(VLOOKUP(H$6&amp;$C55,'◆（運営）③結果入力'!$E$16:$J$345,6,FALSE)="","",VLOOKUP(H$6&amp;$C55,'◆（運営）③結果入力'!$E$16:$J$345,6,FALSE)),IF(VLOOKUP(H$6&amp;$C55,'◆（運営）③結果入力'!$D$16:$I$345,6,FALSE)="","",VLOOKUP(H$6&amp;$C55,'◆（運営）③結果入力'!$D$16:$I$345,6,FALSE))))</f>
        <v>46</v>
      </c>
      <c r="I55" s="327">
        <f>IF(C55="","",IF(ISERROR(VLOOKUP(I$6&amp;$C55,'◆（運営）③結果入力'!$D$16:$I$345,6,FALSE)),IF(VLOOKUP(I$6&amp;$C55,'◆（運営）③結果入力'!$E$16:$J$345,6,FALSE)="","",VLOOKUP(I$6&amp;$C55,'◆（運営）③結果入力'!$E$16:$J$345,6,FALSE)),IF(VLOOKUP(I$6&amp;$C55,'◆（運営）③結果入力'!$D$16:$I$345,6,FALSE)="","",VLOOKUP(I$6&amp;$C55,'◆（運営）③結果入力'!$D$16:$I$345,6,FALSE))))</f>
        <v>15</v>
      </c>
      <c r="J55" s="327" t="str">
        <f>IF(C55="","",IF(ISERROR(VLOOKUP(J$6&amp;$C55,'◆（運営）③結果入力'!$D$16:$I$345,6,FALSE)),IF(VLOOKUP(J$6&amp;$C55,'◆（運営）③結果入力'!$E$16:$J$345,6,FALSE)="","",VLOOKUP(J$6&amp;$C55,'◆（運営）③結果入力'!$E$16:$J$345,6,FALSE)),IF(VLOOKUP(J$6&amp;$C55,'◆（運営）③結果入力'!$D$16:$I$345,6,FALSE)="","",VLOOKUP(J$6&amp;$C55,'◆（運営）③結果入力'!$D$16:$I$345,6,FALSE))))</f>
        <v>W</v>
      </c>
      <c r="K55" s="327" t="str">
        <f>IF(C55="","",IF(ISERROR(VLOOKUP(K$6&amp;$C55,'◆（運営）③結果入力'!$D$16:$I$345,6,FALSE)),IF(VLOOKUP(K$6&amp;$C55,'◆（運営）③結果入力'!$E$16:$J$345,6,FALSE)="","",VLOOKUP(K$6&amp;$C55,'◆（運営）③結果入力'!$E$16:$J$345,6,FALSE)),IF(VLOOKUP(K$6&amp;$C55,'◆（運営）③結果入力'!$D$16:$I$345,6,FALSE)="","",VLOOKUP(K$6&amp;$C55,'◆（運営）③結果入力'!$D$16:$I$345,6,FALSE))))</f>
        <v>W</v>
      </c>
      <c r="L55" s="327" t="str">
        <f>IF(C55="","",IF(ISERROR(VLOOKUP(L$6&amp;$C55,'◆（運営）③結果入力'!$D$16:$I$345,6,FALSE)),IF(VLOOKUP(L$6&amp;$C55,'◆（運営）③結果入力'!$E$16:$J$345,6,FALSE)="","",VLOOKUP(L$6&amp;$C55,'◆（運営）③結果入力'!$E$16:$J$345,6,FALSE)),IF(VLOOKUP(L$6&amp;$C55,'◆（運営）③結果入力'!$D$16:$I$345,6,FALSE)="","",VLOOKUP(L$6&amp;$C55,'◆（運営）③結果入力'!$D$16:$I$345,6,FALSE))))</f>
        <v>W</v>
      </c>
      <c r="M55" s="327" t="str">
        <f>IF(C55="","",IF(ISERROR(VLOOKUP(M$6&amp;$C55,'◆（運営）③結果入力'!$D$16:$I$345,6,FALSE)),IF(VLOOKUP(M$6&amp;$C55,'◆（運営）③結果入力'!$E$16:$J$345,6,FALSE)="","",VLOOKUP(M$6&amp;$C55,'◆（運営）③結果入力'!$E$16:$J$345,6,FALSE)),IF(VLOOKUP(M$6&amp;$C55,'◆（運営）③結果入力'!$D$16:$I$345,6,FALSE)="","",VLOOKUP(M$6&amp;$C55,'◆（運営）③結果入力'!$D$16:$I$345,6,FALSE))))</f>
        <v>W</v>
      </c>
      <c r="N55" s="327">
        <f>IF(C55="","",IF(ISERROR(VLOOKUP(N$6&amp;$C55,'◆（運営）③結果入力'!$D$16:$I$345,6,FALSE)),IF(VLOOKUP(N$6&amp;$C55,'◆（運営）③結果入力'!$E$16:$J$345,6,FALSE)="","",VLOOKUP(N$6&amp;$C55,'◆（運営）③結果入力'!$E$16:$J$345,6,FALSE)),IF(VLOOKUP(N$6&amp;$C55,'◆（運営）③結果入力'!$D$16:$I$345,6,FALSE)="","",VLOOKUP(N$6&amp;$C55,'◆（運営）③結果入力'!$D$16:$I$345,6,FALSE))))</f>
        <v>35</v>
      </c>
      <c r="O55" s="384"/>
      <c r="P55" s="346">
        <f t="shared" si="48"/>
        <v>4</v>
      </c>
      <c r="Q55" s="326">
        <f t="shared" si="49"/>
        <v>5</v>
      </c>
      <c r="R55" s="347">
        <f t="shared" si="50"/>
        <v>675</v>
      </c>
      <c r="S55" s="347">
        <f>IF(COUNTBLANK(F55:O55)=10,"",SUM(O46:O55)+(Q55*120))</f>
        <v>921</v>
      </c>
      <c r="T55" s="314">
        <f t="shared" si="51"/>
        <v>8</v>
      </c>
      <c r="U55" s="348">
        <f t="shared" si="52"/>
        <v>9</v>
      </c>
      <c r="V55" s="348">
        <f t="shared" si="53"/>
        <v>0</v>
      </c>
      <c r="W55" s="348">
        <f t="shared" si="54"/>
        <v>406749079</v>
      </c>
      <c r="X55" s="348">
        <f>IF(W55=0,"",IF(W55=MAX($W$16,$W$29,$W$42,$W$55,$W$68),1,""))</f>
      </c>
      <c r="Y55" s="348" t="str">
        <f t="shared" si="55"/>
        <v>大阪B</v>
      </c>
      <c r="Z55" s="348" t="str">
        <f t="shared" si="56"/>
        <v>山崎 真紀子</v>
      </c>
      <c r="AA55" s="349">
        <f>IF(C55="","",IF(ISERROR(VLOOKUP(F$6&amp;$C55,'◆（運営）③結果入力'!$D$16:$K$345,5,FALSE)),IF(VLOOKUP(F$6&amp;$C55,'◆（運営）③結果入力'!$E$16:$K$345,7,FALSE)="","",VLOOKUP(F$6&amp;$C55,'◆（運営）③結果入力'!$E$16:$K$345,7,FALSE)),IF(VLOOKUP(F$6&amp;$C55,'◆（運営）③結果入力'!$D$16:$K$345,5,FALSE)="","",VLOOKUP(F$6&amp;$C55,'◆（運営）③結果入力'!$D$16:$K$345,5,FALSE))))</f>
      </c>
      <c r="AB55" s="350">
        <f>IF(C55="","",IF(ISERROR(VLOOKUP(G$6&amp;$C55,'◆（運営）③結果入力'!$D$16:$K$345,5,FALSE)),IF(VLOOKUP(G$6&amp;$C55,'◆（運営）③結果入力'!$E$16:$K$345,7,FALSE)="","",VLOOKUP(G$6&amp;$C55,'◆（運営）③結果入力'!$E$16:$K$345,7,FALSE)),IF(VLOOKUP(G$6&amp;$C55,'◆（運営）③結果入力'!$D$16:$K$345,5,FALSE)="","",VLOOKUP(G$6&amp;$C55,'◆（運営）③結果入力'!$D$16:$K$345,5,FALSE))))</f>
      </c>
      <c r="AC55" s="350">
        <f>IF(C55="","",IF(ISERROR(VLOOKUP(H$6&amp;$C55,'◆（運営）③結果入力'!$D$16:$K$345,5,FALSE)),IF(VLOOKUP(H$6&amp;$C55,'◆（運営）③結果入力'!$E$16:$K$345,7,FALSE)="","",VLOOKUP(H$6&amp;$C55,'◆（運営）③結果入力'!$E$16:$K$345,7,FALSE)),IF(VLOOKUP(H$6&amp;$C55,'◆（運営）③結果入力'!$D$16:$K$345,5,FALSE)="","",VLOOKUP(H$6&amp;$C55,'◆（運営）③結果入力'!$D$16:$K$345,5,FALSE))))</f>
      </c>
      <c r="AD55" s="350">
        <f>IF(C55="","",IF(ISERROR(VLOOKUP(I$6&amp;$C55,'◆（運営）③結果入力'!$D$16:$K$345,5,FALSE)),IF(VLOOKUP(I$6&amp;$C55,'◆（運営）③結果入力'!$E$16:$K$345,7,FALSE)="","",VLOOKUP(I$6&amp;$C55,'◆（運営）③結果入力'!$E$16:$K$345,7,FALSE)),IF(VLOOKUP(I$6&amp;$C55,'◆（運営）③結果入力'!$D$16:$K$345,5,FALSE)="","",VLOOKUP(I$6&amp;$C55,'◆（運営）③結果入力'!$D$16:$K$345,5,FALSE))))</f>
      </c>
      <c r="AE55" s="350">
        <f>IF(C55="","",IF(ISERROR(VLOOKUP(J$6&amp;$C55,'◆（運営）③結果入力'!$D$16:$K$345,5,FALSE)),IF(VLOOKUP(J$6&amp;$C55,'◆（運営）③結果入力'!$E$16:$K$345,7,FALSE)="","",VLOOKUP(J$6&amp;$C55,'◆（運営）③結果入力'!$E$16:$K$345,7,FALSE)),IF(VLOOKUP(J$6&amp;$C55,'◆（運営）③結果入力'!$D$16:$K$345,5,FALSE)="","",VLOOKUP(J$6&amp;$C55,'◆（運営）③結果入力'!$D$16:$K$345,5,FALSE))))</f>
      </c>
      <c r="AF55" s="350">
        <f>IF(C55="","",IF(ISERROR(VLOOKUP(K$6&amp;$C55,'◆（運営）③結果入力'!$D$16:$K$345,5,FALSE)),IF(VLOOKUP(K$6&amp;$C55,'◆（運営）③結果入力'!$E$16:$K$345,7,FALSE)="","",VLOOKUP(K$6&amp;$C55,'◆（運営）③結果入力'!$E$16:$K$345,7,FALSE)),IF(VLOOKUP(K$6&amp;$C55,'◆（運営）③結果入力'!$D$16:$K$345,5,FALSE)="","",VLOOKUP(K$6&amp;$C55,'◆（運営）③結果入力'!$D$16:$K$345,5,FALSE))))</f>
      </c>
      <c r="AG55" s="350">
        <f>IF(C55="","",IF(ISERROR(VLOOKUP(L$6&amp;$C55,'◆（運営）③結果入力'!$D$16:$K$345,5,FALSE)),IF(VLOOKUP(L$6&amp;$C55,'◆（運営）③結果入力'!$E$16:$K$345,7,FALSE)="","",VLOOKUP(L$6&amp;$C55,'◆（運営）③結果入力'!$E$16:$K$345,7,FALSE)),IF(VLOOKUP(L$6&amp;$C55,'◆（運営）③結果入力'!$D$16:$K$345,5,FALSE)="","",VLOOKUP(L$6&amp;$C55,'◆（運営）③結果入力'!$D$16:$K$345,5,FALSE))))</f>
      </c>
      <c r="AH55" s="350">
        <f>IF(C55="","",IF(ISERROR(VLOOKUP(M$6&amp;$C55,'◆（運営）③結果入力'!$D$16:$K$345,5,FALSE)),IF(VLOOKUP(M$6&amp;$C55,'◆（運営）③結果入力'!$E$16:$K$345,7,FALSE)="","",VLOOKUP(M$6&amp;$C55,'◆（運営）③結果入力'!$E$16:$K$345,7,FALSE)),IF(VLOOKUP(M$6&amp;$C55,'◆（運営）③結果入力'!$D$16:$K$345,5,FALSE)="","",VLOOKUP(M$6&amp;$C55,'◆（運営）③結果入力'!$D$16:$K$345,5,FALSE))))</f>
      </c>
      <c r="AI55" s="350">
        <f>IF(C55="","",IF(ISERROR(VLOOKUP(N$6&amp;$C55,'◆（運営）③結果入力'!$D$16:$K$345,5,FALSE)),IF(VLOOKUP(N$6&amp;$C55,'◆（運営）③結果入力'!$E$16:$K$345,7,FALSE)="","",VLOOKUP(N$6&amp;$C55,'◆（運営）③結果入力'!$E$16:$K$345,7,FALSE)),IF(VLOOKUP(N$6&amp;$C55,'◆（運営）③結果入力'!$D$16:$K$345,5,FALSE)="","",VLOOKUP(N$6&amp;$C55,'◆（運営）③結果入力'!$D$16:$K$345,5,FALSE))))</f>
      </c>
      <c r="AJ55" s="387"/>
      <c r="AK55" s="350"/>
      <c r="AL55" s="351"/>
      <c r="AM55" s="352">
        <f t="shared" si="57"/>
      </c>
      <c r="AO55" s="335">
        <f t="shared" si="58"/>
        <v>0</v>
      </c>
      <c r="AP55" s="335">
        <f t="shared" si="59"/>
        <v>0</v>
      </c>
      <c r="AQ55" s="335">
        <f t="shared" si="60"/>
        <v>0</v>
      </c>
      <c r="AR55" s="335">
        <f t="shared" si="61"/>
        <v>0</v>
      </c>
      <c r="AS55" s="335">
        <f t="shared" si="62"/>
        <v>17</v>
      </c>
    </row>
    <row r="57" spans="3:15" ht="12.75" customHeight="1">
      <c r="C57" s="274">
        <f>C5+4</f>
        <v>5</v>
      </c>
      <c r="D57" s="274" t="str">
        <f>D5</f>
        <v>組</v>
      </c>
      <c r="F57" s="30">
        <v>1</v>
      </c>
      <c r="G57" s="30">
        <v>2</v>
      </c>
      <c r="H57" s="30">
        <v>3</v>
      </c>
      <c r="I57" s="30">
        <v>4</v>
      </c>
      <c r="J57" s="30">
        <v>5</v>
      </c>
      <c r="K57" s="30">
        <v>6</v>
      </c>
      <c r="L57" s="30">
        <v>7</v>
      </c>
      <c r="M57" s="30">
        <v>8</v>
      </c>
      <c r="N57" s="30">
        <v>9</v>
      </c>
      <c r="O57" s="30">
        <v>10</v>
      </c>
    </row>
    <row r="58" spans="2:45" ht="50.25" customHeight="1">
      <c r="B58" s="280" t="s">
        <v>229</v>
      </c>
      <c r="C58" s="281" t="s">
        <v>74</v>
      </c>
      <c r="D58" s="282"/>
      <c r="E58" s="283"/>
      <c r="F58" s="284" t="str">
        <f>B59</f>
        <v>兵庫</v>
      </c>
      <c r="G58" s="285" t="str">
        <f>B60</f>
        <v>愛知</v>
      </c>
      <c r="H58" s="285" t="str">
        <f>B61</f>
        <v>京都</v>
      </c>
      <c r="I58" s="285" t="str">
        <f>B62</f>
        <v>大阪A</v>
      </c>
      <c r="J58" s="285" t="str">
        <f>B63</f>
        <v>和歌山</v>
      </c>
      <c r="K58" s="285" t="str">
        <f>B64</f>
        <v>滋賀</v>
      </c>
      <c r="L58" s="285" t="str">
        <f>B65</f>
        <v>奈良</v>
      </c>
      <c r="M58" s="285" t="str">
        <f>B66</f>
        <v>三重</v>
      </c>
      <c r="N58" s="285" t="str">
        <f>B67:B67</f>
        <v>岐阜</v>
      </c>
      <c r="O58" s="285" t="str">
        <f>B68</f>
        <v>大阪B</v>
      </c>
      <c r="P58" s="286" t="s">
        <v>230</v>
      </c>
      <c r="Q58" s="287" t="s">
        <v>231</v>
      </c>
      <c r="R58" s="287" t="s">
        <v>232</v>
      </c>
      <c r="S58" s="287" t="s">
        <v>233</v>
      </c>
      <c r="T58" s="328" t="s">
        <v>234</v>
      </c>
      <c r="U58" s="329" t="s">
        <v>235</v>
      </c>
      <c r="V58" s="329" t="s">
        <v>236</v>
      </c>
      <c r="W58" s="330" t="s">
        <v>237</v>
      </c>
      <c r="X58" s="331"/>
      <c r="Y58" s="331"/>
      <c r="Z58" s="331"/>
      <c r="AA58" s="406" t="s">
        <v>45</v>
      </c>
      <c r="AB58" s="406"/>
      <c r="AC58" s="406"/>
      <c r="AD58" s="406"/>
      <c r="AE58" s="406"/>
      <c r="AF58" s="406"/>
      <c r="AG58" s="406"/>
      <c r="AH58" s="406"/>
      <c r="AI58" s="406"/>
      <c r="AJ58" s="406"/>
      <c r="AK58" s="406"/>
      <c r="AL58" s="407"/>
      <c r="AM58" s="332" t="s">
        <v>238</v>
      </c>
      <c r="AO58" s="333" t="s">
        <v>239</v>
      </c>
      <c r="AP58" s="333" t="s">
        <v>240</v>
      </c>
      <c r="AQ58" s="333" t="s">
        <v>241</v>
      </c>
      <c r="AR58" s="334" t="s">
        <v>242</v>
      </c>
      <c r="AS58" s="335" t="s">
        <v>243</v>
      </c>
    </row>
    <row r="59" spans="1:45" ht="12.75" customHeight="1">
      <c r="A59" s="274">
        <v>1</v>
      </c>
      <c r="B59" s="292" t="str">
        <f aca="true" t="shared" si="63" ref="B59:B68">B7</f>
        <v>兵庫</v>
      </c>
      <c r="C59" s="293" t="str">
        <f>IF(B59="","",VLOOKUP(B59,'ブロック表'!$C$4:$N$15,11,FALSE))</f>
        <v>平井 洸志</v>
      </c>
      <c r="D59" s="294"/>
      <c r="E59" s="295"/>
      <c r="F59" s="382"/>
      <c r="G59" s="297">
        <f>IF(ISERROR(VLOOKUP(G$6&amp;$C59,'◆（運営）③結果入力'!$D$16:$I$345,6,FALSE)),IF(VLOOKUP(G$6&amp;$C59,'◆（運営）③結果入力'!$E$16:$J$345,6,FALSE)="","",VLOOKUP(G$6&amp;$C59,'◆（運営）③結果入力'!$E$16:$J$345,6,FALSE)),IF(VLOOKUP(G$6&amp;$C59,'◆（運営）③結果入力'!$D$16:$I$345,6,FALSE)="","",VLOOKUP(G$6&amp;$C59,'◆（運営）③結果入力'!$D$16:$I$345,6,FALSE)))</f>
        <v>14</v>
      </c>
      <c r="H59" s="297">
        <f>IF(ISERROR(VLOOKUP(H$6&amp;$C59,'◆（運営）③結果入力'!$D$16:$I$345,6,FALSE)),IF(VLOOKUP(H$6&amp;$C59,'◆（運営）③結果入力'!$E$16:$J$345,6,FALSE)="","",VLOOKUP(H$6&amp;$C59,'◆（運営）③結果入力'!$E$16:$J$345,6,FALSE)),IF(VLOOKUP(H$6&amp;$C59,'◆（運営）③結果入力'!$D$16:$I$345,6,FALSE)="","",VLOOKUP(H$6&amp;$C59,'◆（運営）③結果入力'!$D$16:$I$345,6,FALSE)))</f>
        <v>7</v>
      </c>
      <c r="I59" s="297" t="str">
        <f>IF(ISERROR(VLOOKUP(I$6&amp;$C59,'◆（運営）③結果入力'!$D$16:$I$345,6,FALSE)),IF(VLOOKUP(I$6&amp;$C59,'◆（運営）③結果入力'!$E$16:$J$345,6,FALSE)="","",VLOOKUP(I$6&amp;$C59,'◆（運営）③結果入力'!$E$16:$J$345,6,FALSE)),IF(VLOOKUP(I$6&amp;$C59,'◆（運営）③結果入力'!$D$16:$I$345,6,FALSE)="","",VLOOKUP(I$6&amp;$C59,'◆（運営）③結果入力'!$D$16:$I$345,6,FALSE)))</f>
        <v>W</v>
      </c>
      <c r="J59" s="297">
        <f>IF(ISERROR(VLOOKUP(J$6&amp;$C59,'◆（運営）③結果入力'!$D$16:$I$345,6,FALSE)),IF(VLOOKUP(J$6&amp;$C59,'◆（運営）③結果入力'!$E$16:$J$345,6,FALSE)="","",VLOOKUP(J$6&amp;$C59,'◆（運営）③結果入力'!$E$16:$J$345,6,FALSE)),IF(VLOOKUP(J$6&amp;$C59,'◆（運営）③結果入力'!$D$16:$I$345,6,FALSE)="","",VLOOKUP(J$6&amp;$C59,'◆（運営）③結果入力'!$D$16:$I$345,6,FALSE)))</f>
        <v>33</v>
      </c>
      <c r="K59" s="297">
        <f>IF(ISERROR(VLOOKUP(K$6&amp;$C59,'◆（運営）③結果入力'!$D$16:$I$345,6,FALSE)),IF(VLOOKUP(K$6&amp;$C59,'◆（運営）③結果入力'!$E$16:$J$345,6,FALSE)="","",VLOOKUP(K$6&amp;$C59,'◆（運営）③結果入力'!$E$16:$J$345,6,FALSE)),IF(VLOOKUP(K$6&amp;$C59,'◆（運営）③結果入力'!$D$16:$I$345,6,FALSE)="","",VLOOKUP(K$6&amp;$C59,'◆（運営）③結果入力'!$D$16:$I$345,6,FALSE)))</f>
        <v>8</v>
      </c>
      <c r="L59" s="297" t="str">
        <f>IF(ISERROR(VLOOKUP(L$6&amp;$C59,'◆（運営）③結果入力'!$D$16:$I$345,6,FALSE)),IF(VLOOKUP(L$6&amp;$C59,'◆（運営）③結果入力'!$E$16:$J$345,6,FALSE)="","",VLOOKUP(L$6&amp;$C59,'◆（運営）③結果入力'!$E$16:$J$345,6,FALSE)),IF(VLOOKUP(L$6&amp;$C59,'◆（運営）③結果入力'!$D$16:$I$345,6,FALSE)="","",VLOOKUP(L$6&amp;$C59,'◆（運営）③結果入力'!$D$16:$I$345,6,FALSE)))</f>
        <v>W</v>
      </c>
      <c r="M59" s="297" t="str">
        <f>IF(ISERROR(VLOOKUP(M$6&amp;$C59,'◆（運営）③結果入力'!$D$16:$I$345,6,FALSE)),IF(VLOOKUP(M$6&amp;$C59,'◆（運営）③結果入力'!$E$16:$J$345,6,FALSE)="","",VLOOKUP(M$6&amp;$C59,'◆（運営）③結果入力'!$E$16:$J$345,6,FALSE)),IF(VLOOKUP(M$6&amp;$C59,'◆（運営）③結果入力'!$D$16:$I$345,6,FALSE)="","",VLOOKUP(M$6&amp;$C59,'◆（運営）③結果入力'!$D$16:$I$345,6,FALSE)))</f>
        <v>W</v>
      </c>
      <c r="N59" s="297" t="str">
        <f>IF(ISERROR(VLOOKUP(N$6&amp;$C59,'◆（運営）③結果入力'!$D$16:$I$345,6,FALSE)),IF(VLOOKUP(N$6&amp;$C59,'◆（運営）③結果入力'!$E$16:$J$345,6,FALSE)="","",VLOOKUP(N$6&amp;$C59,'◆（運営）③結果入力'!$E$16:$J$345,6,FALSE)),IF(VLOOKUP(N$6&amp;$C59,'◆（運営）③結果入力'!$D$16:$I$345,6,FALSE)="","",VLOOKUP(N$6&amp;$C59,'◆（運営）③結果入力'!$D$16:$I$345,6,FALSE)))</f>
        <v>W</v>
      </c>
      <c r="O59" s="297">
        <f>IF(O58="","",IF(ISERROR(VLOOKUP(O$6&amp;$C59,'◆（運営）③結果入力'!$D$16:$I$345,6,FALSE)),IF(VLOOKUP(O$6&amp;$C59,'◆（運営）③結果入力'!$E$16:$J$345,6,FALSE)="","",VLOOKUP(O$6&amp;$C59,'◆（運営）③結果入力'!$E$16:$J$345,6,FALSE)),IF(VLOOKUP(O$6&amp;$C59,'◆（運営）③結果入力'!$D$16:$I$345,6,FALSE)="","",VLOOKUP(O$6&amp;$C59,'◆（運営）③結果入力'!$D$16:$I$345,6,FALSE))))</f>
        <v>14</v>
      </c>
      <c r="P59" s="298">
        <f aca="true" t="shared" si="64" ref="P59:P68">IF(COUNTBLANK(F59:O59)=10,"",COUNTIF(F59:O59,"W"))</f>
        <v>4</v>
      </c>
      <c r="Q59" s="299">
        <f aca="true" t="shared" si="65" ref="Q59:Q68">IF(COUNTBLANK(F59:O59)=10,"",COUNT(F59:O59))</f>
        <v>5</v>
      </c>
      <c r="R59" s="300">
        <f aca="true" t="shared" si="66" ref="R59:R68">IF(COUNTBLANK(F59:O59)=10,"",SUM(F59:O59)+(P59*120))</f>
        <v>556</v>
      </c>
      <c r="S59" s="300">
        <f>IF(COUNTBLANK(F59:O59)=10,"",SUM(F59:F68)+(Q59*120))</f>
        <v>891</v>
      </c>
      <c r="T59" s="336">
        <f aca="true" t="shared" si="67" ref="T59:T68">IF(COUNTBLANK(F59:O59)=10,"",IF(P59+Q59=0,"",RANK(W59,$W$59:$W$68,0)))</f>
        <v>9</v>
      </c>
      <c r="U59" s="276">
        <f aca="true" t="shared" si="68" ref="U59:U68">COUNTA($F$6:$O$6)-1-V59</f>
        <v>9</v>
      </c>
      <c r="V59" s="276">
        <f aca="true" t="shared" si="69" ref="V59:V68">COUNTBLANK(F59:O59)-1</f>
        <v>0</v>
      </c>
      <c r="W59" s="276">
        <f aca="true" t="shared" si="70" ref="W59:W68">IF(P59="",0,P59*100000000+R59*10000-S59)</f>
        <v>405559109</v>
      </c>
      <c r="X59" s="276">
        <f>IF(W59=0,"",IF(W59=MAX($W$7,$W$20,$W$33,$W$46,$W$59),1,""))</f>
      </c>
      <c r="Y59" s="276" t="str">
        <f aca="true" t="shared" si="71" ref="Y59:Y68">X59&amp;B59</f>
        <v>兵庫</v>
      </c>
      <c r="Z59" s="276" t="str">
        <f aca="true" t="shared" si="72" ref="Z59:Z68">C59</f>
        <v>平井 洸志</v>
      </c>
      <c r="AA59" s="385"/>
      <c r="AB59" s="337">
        <f>IF(ISERROR(VLOOKUP(G$6&amp;$C59,'◆（運営）③結果入力'!$D$16:$K$345,5,FALSE)),IF(VLOOKUP(G$6&amp;$C59,'◆（運営）③結果入力'!$E$16:$K$345,7,FALSE)="","",VLOOKUP(G$6&amp;$C59,'◆（運営）③結果入力'!$E$16:$K$345,7,FALSE)),IF(VLOOKUP(G$6&amp;$C59,'◆（運営）③結果入力'!$D$16:$K$345,5,FALSE)="","",VLOOKUP(G$6&amp;$C59,'◆（運営）③結果入力'!$D$16:$K$345,5,FALSE)))</f>
      </c>
      <c r="AC59" s="337">
        <f>IF(ISERROR(VLOOKUP(H$6&amp;$C59,'◆（運営）③結果入力'!$D$16:$K$345,5,FALSE)),IF(VLOOKUP(H$6&amp;$C59,'◆（運営）③結果入力'!$E$16:$K$345,7,FALSE)="","",VLOOKUP(H$6&amp;$C59,'◆（運営）③結果入力'!$E$16:$K$345,7,FALSE)),IF(VLOOKUP(H$6&amp;$C59,'◆（運営）③結果入力'!$D$16:$K$345,5,FALSE)="","",VLOOKUP(H$6&amp;$C59,'◆（運営）③結果入力'!$D$16:$K$345,5,FALSE)))</f>
      </c>
      <c r="AD59" s="337">
        <f>IF(ISERROR(VLOOKUP(I$6&amp;$C59,'◆（運営）③結果入力'!$D$16:$K$345,5,FALSE)),IF(VLOOKUP(I$6&amp;$C59,'◆（運営）③結果入力'!$E$16:$K$345,7,FALSE)="","",VLOOKUP(I$6&amp;$C59,'◆（運営）③結果入力'!$E$16:$K$345,7,FALSE)),IF(VLOOKUP(I$6&amp;$C59,'◆（運営）③結果入力'!$D$16:$K$345,5,FALSE)="","",VLOOKUP(I$6&amp;$C59,'◆（運営）③結果入力'!$D$16:$K$345,5,FALSE)))</f>
      </c>
      <c r="AE59" s="337">
        <f>IF(ISERROR(VLOOKUP(J$6&amp;$C59,'◆（運営）③結果入力'!$D$16:$K$345,5,FALSE)),IF(VLOOKUP(J$6&amp;$C59,'◆（運営）③結果入力'!$E$16:$K$345,7,FALSE)="","",VLOOKUP(J$6&amp;$C59,'◆（運営）③結果入力'!$E$16:$K$345,7,FALSE)),IF(VLOOKUP(J$6&amp;$C59,'◆（運営）③結果入力'!$D$16:$K$345,5,FALSE)="","",VLOOKUP(J$6&amp;$C59,'◆（運営）③結果入力'!$D$16:$K$345,5,FALSE)))</f>
      </c>
      <c r="AF59" s="337">
        <f>IF(ISERROR(VLOOKUP(K$6&amp;$C59,'◆（運営）③結果入力'!$D$16:$K$345,5,FALSE)),IF(VLOOKUP(K$6&amp;$C59,'◆（運営）③結果入力'!$E$16:$K$345,7,FALSE)="","",VLOOKUP(K$6&amp;$C59,'◆（運営）③結果入力'!$E$16:$K$345,7,FALSE)),IF(VLOOKUP(K$6&amp;$C59,'◆（運営）③結果入力'!$D$16:$K$345,5,FALSE)="","",VLOOKUP(K$6&amp;$C59,'◆（運営）③結果入力'!$D$16:$K$345,5,FALSE)))</f>
      </c>
      <c r="AG59" s="337">
        <f>IF(ISERROR(VLOOKUP(L$6&amp;$C59,'◆（運営）③結果入力'!$D$16:$K$345,5,FALSE)),IF(VLOOKUP(L$6&amp;$C59,'◆（運営）③結果入力'!$E$16:$K$345,7,FALSE)="","",VLOOKUP(L$6&amp;$C59,'◆（運営）③結果入力'!$E$16:$K$345,7,FALSE)),IF(VLOOKUP(L$6&amp;$C59,'◆（運営）③結果入力'!$D$16:$K$345,5,FALSE)="","",VLOOKUP(L$6&amp;$C59,'◆（運営）③結果入力'!$D$16:$K$345,5,FALSE)))</f>
      </c>
      <c r="AH59" s="337">
        <f>IF(ISERROR(VLOOKUP(M$6&amp;$C59,'◆（運営）③結果入力'!$D$16:$K$345,5,FALSE)),IF(VLOOKUP(M$6&amp;$C59,'◆（運営）③結果入力'!$E$16:$K$345,7,FALSE)="","",VLOOKUP(M$6&amp;$C59,'◆（運営）③結果入力'!$E$16:$K$345,7,FALSE)),IF(VLOOKUP(M$6&amp;$C59,'◆（運営）③結果入力'!$D$16:$K$345,5,FALSE)="","",VLOOKUP(M$6&amp;$C59,'◆（運営）③結果入力'!$D$16:$K$345,5,FALSE)))</f>
      </c>
      <c r="AI59" s="337">
        <f>IF(ISERROR(VLOOKUP(N$6&amp;$C59,'◆（運営）③結果入力'!$D$16:$K$345,5,FALSE)),IF(VLOOKUP(N$6&amp;$C59,'◆（運営）③結果入力'!$E$16:$K$345,7,FALSE)="","",VLOOKUP(N$6&amp;$C59,'◆（運営）③結果入力'!$E$16:$K$345,7,FALSE)),IF(VLOOKUP(N$6&amp;$C59,'◆（運営）③結果入力'!$D$16:$K$345,5,FALSE)="","",VLOOKUP(N$6&amp;$C59,'◆（運営）③結果入力'!$D$16:$K$345,5,FALSE)))</f>
      </c>
      <c r="AJ59" s="337">
        <f>IF(O58="","",IF(ISERROR(VLOOKUP(O$6&amp;$C59,'◆（運営）③結果入力'!$D$16:$K$345,5,FALSE)),IF(VLOOKUP(O$6&amp;$C59,'◆（運営）③結果入力'!$E$16:$K$345,7,FALSE)="","",VLOOKUP(O$6&amp;$C59,'◆（運営）③結果入力'!$E$16:$K$345,7,FALSE)),IF(VLOOKUP(O$6&amp;$C59,'◆（運営）③結果入力'!$D$16:$K$345,5,FALSE)="","",VLOOKUP(O$6&amp;$C59,'◆（運営）③結果入力'!$D$16:$K$345,5,FALSE))))</f>
      </c>
      <c r="AK59" s="337"/>
      <c r="AL59" s="338"/>
      <c r="AM59" s="339">
        <f aca="true" t="shared" si="73" ref="AM59:AM68">IF(COUNTBLANK(AA59:AL59)=12,"",IF(AO59&gt;0,"A120",IF(AP59&gt;0,"B120",MAX(AA59:AL59))))</f>
      </c>
      <c r="AO59" s="335">
        <f aca="true" t="shared" si="74" ref="AO59:AO68">COUNTIF(AA59:AL59,"A120")</f>
        <v>0</v>
      </c>
      <c r="AP59" s="335">
        <f aca="true" t="shared" si="75" ref="AP59:AP68">COUNTIF(AA59:AL59,"B120")</f>
        <v>0</v>
      </c>
      <c r="AQ59" s="335">
        <f aca="true" t="shared" si="76" ref="AQ59:AQ68">SUM(AA59:AL59)</f>
        <v>0</v>
      </c>
      <c r="AR59" s="335">
        <f aca="true" t="shared" si="77" ref="AR59:AR68">AO59*1000000+AP59*10000+AQ59</f>
        <v>0</v>
      </c>
      <c r="AS59" s="335">
        <f aca="true" t="shared" si="78" ref="AS59:AS68">RANK(AR59,$AR$7:$AR$68,0)</f>
        <v>17</v>
      </c>
    </row>
    <row r="60" spans="1:45" ht="12" customHeight="1">
      <c r="A60" s="274">
        <v>2</v>
      </c>
      <c r="B60" s="315" t="str">
        <f t="shared" si="63"/>
        <v>愛知</v>
      </c>
      <c r="C60" s="316" t="str">
        <f>IF(B60="","",VLOOKUP(B60,'ブロック表'!$C$4:$N$15,11,FALSE))</f>
        <v>島田 隆嗣</v>
      </c>
      <c r="D60" s="317"/>
      <c r="E60" s="318"/>
      <c r="F60" s="319" t="str">
        <f>IF(ISERROR(VLOOKUP(F$6&amp;$C60,'◆（運営）③結果入力'!$D$16:$I$345,6,FALSE)),IF(VLOOKUP(F$6&amp;$C60,'◆（運営）③結果入力'!$E$16:$J$345,6,FALSE)="","",VLOOKUP(F$6&amp;$C60,'◆（運営）③結果入力'!$E$16:$J$345,6,FALSE)),IF(VLOOKUP(F$6&amp;$C60,'◆（運営）③結果入力'!$D$16:$I$345,6,FALSE)="","",VLOOKUP(F$6&amp;$C60,'◆（運営）③結果入力'!$D$16:$I$345,6,FALSE)))</f>
        <v>W</v>
      </c>
      <c r="G60" s="383"/>
      <c r="H60" s="320" t="str">
        <f>IF(ISERROR(VLOOKUP(H$6&amp;$C60,'◆（運営）③結果入力'!$D$16:$I$345,6,FALSE)),IF(VLOOKUP(H$6&amp;$C60,'◆（運営）③結果入力'!$E$16:$J$345,6,FALSE)="","",VLOOKUP(H$6&amp;$C60,'◆（運営）③結果入力'!$E$16:$J$345,6,FALSE)),IF(VLOOKUP(H$6&amp;$C60,'◆（運営）③結果入力'!$D$16:$I$345,6,FALSE)="","",VLOOKUP(H$6&amp;$C60,'◆（運営）③結果入力'!$D$16:$I$345,6,FALSE)))</f>
        <v>W</v>
      </c>
      <c r="I60" s="320">
        <f>IF(ISERROR(VLOOKUP(I$6&amp;$C60,'◆（運営）③結果入力'!$D$16:$I$345,6,FALSE)),IF(VLOOKUP(I$6&amp;$C60,'◆（運営）③結果入力'!$E$16:$J$345,6,FALSE)="","",VLOOKUP(I$6&amp;$C60,'◆（運営）③結果入力'!$E$16:$J$345,6,FALSE)),IF(VLOOKUP(I$6&amp;$C60,'◆（運営）③結果入力'!$D$16:$I$345,6,FALSE)="","",VLOOKUP(I$6&amp;$C60,'◆（運営）③結果入力'!$D$16:$I$345,6,FALSE)))</f>
        <v>0</v>
      </c>
      <c r="J60" s="320" t="str">
        <f>IF(ISERROR(VLOOKUP(J$6&amp;$C60,'◆（運営）③結果入力'!$D$16:$I$345,6,FALSE)),IF(VLOOKUP(J$6&amp;$C60,'◆（運営）③結果入力'!$E$16:$J$345,6,FALSE)="","",VLOOKUP(J$6&amp;$C60,'◆（運営）③結果入力'!$E$16:$J$345,6,FALSE)),IF(VLOOKUP(J$6&amp;$C60,'◆（運営）③結果入力'!$D$16:$I$345,6,FALSE)="","",VLOOKUP(J$6&amp;$C60,'◆（運営）③結果入力'!$D$16:$I$345,6,FALSE)))</f>
        <v>W</v>
      </c>
      <c r="K60" s="320">
        <f>IF(ISERROR(VLOOKUP(K$6&amp;$C60,'◆（運営）③結果入力'!$D$16:$I$345,6,FALSE)),IF(VLOOKUP(K$6&amp;$C60,'◆（運営）③結果入力'!$E$16:$J$345,6,FALSE)="","",VLOOKUP(K$6&amp;$C60,'◆（運営）③結果入力'!$E$16:$J$345,6,FALSE)),IF(VLOOKUP(K$6&amp;$C60,'◆（運営）③結果入力'!$D$16:$I$345,6,FALSE)="","",VLOOKUP(K$6&amp;$C60,'◆（運営）③結果入力'!$D$16:$I$345,6,FALSE)))</f>
        <v>63</v>
      </c>
      <c r="L60" s="320">
        <f>IF(ISERROR(VLOOKUP(L$6&amp;$C60,'◆（運営）③結果入力'!$D$16:$I$345,6,FALSE)),IF(VLOOKUP(L$6&amp;$C60,'◆（運営）③結果入力'!$E$16:$J$345,6,FALSE)="","",VLOOKUP(L$6&amp;$C60,'◆（運営）③結果入力'!$E$16:$J$345,6,FALSE)),IF(VLOOKUP(L$6&amp;$C60,'◆（運営）③結果入力'!$D$16:$I$345,6,FALSE)="","",VLOOKUP(L$6&amp;$C60,'◆（運営）③結果入力'!$D$16:$I$345,6,FALSE)))</f>
        <v>26</v>
      </c>
      <c r="M60" s="320">
        <f>IF(ISERROR(VLOOKUP(M$6&amp;$C60,'◆（運営）③結果入力'!$D$16:$I$345,6,FALSE)),IF(VLOOKUP(M$6&amp;$C60,'◆（運営）③結果入力'!$E$16:$J$345,6,FALSE)="","",VLOOKUP(M$6&amp;$C60,'◆（運営）③結果入力'!$E$16:$J$345,6,FALSE)),IF(VLOOKUP(M$6&amp;$C60,'◆（運営）③結果入力'!$D$16:$I$345,6,FALSE)="","",VLOOKUP(M$6&amp;$C60,'◆（運営）③結果入力'!$D$16:$I$345,6,FALSE)))</f>
        <v>65</v>
      </c>
      <c r="N60" s="320" t="str">
        <f>IF(ISERROR(VLOOKUP(N$6&amp;$C60,'◆（運営）③結果入力'!$D$16:$I$345,6,FALSE)),IF(VLOOKUP(N$6&amp;$C60,'◆（運営）③結果入力'!$E$16:$J$345,6,FALSE)="","",VLOOKUP(N$6&amp;$C60,'◆（運営）③結果入力'!$E$16:$J$345,6,FALSE)),IF(VLOOKUP(N$6&amp;$C60,'◆（運営）③結果入力'!$D$16:$I$345,6,FALSE)="","",VLOOKUP(N$6&amp;$C60,'◆（運営）③結果入力'!$D$16:$I$345,6,FALSE)))</f>
        <v>W</v>
      </c>
      <c r="O60" s="320" t="str">
        <f>IF(O58="","",IF(ISERROR(VLOOKUP(O$6&amp;$C60,'◆（運営）③結果入力'!$D$16:$I$345,6,FALSE)),IF(VLOOKUP(O$6&amp;$C60,'◆（運営）③結果入力'!$E$16:$J$345,6,FALSE)="","",VLOOKUP(O$6&amp;$C60,'◆（運営）③結果入力'!$E$16:$J$345,6,FALSE)),IF(VLOOKUP(O$6&amp;$C60,'◆（運営）③結果入力'!$D$16:$I$345,6,FALSE)="","",VLOOKUP(O$6&amp;$C60,'◆（運営）③結果入力'!$D$16:$I$345,6,FALSE))))</f>
        <v>W</v>
      </c>
      <c r="P60" s="340">
        <f t="shared" si="64"/>
        <v>5</v>
      </c>
      <c r="Q60" s="200">
        <f t="shared" si="65"/>
        <v>4</v>
      </c>
      <c r="R60" s="341">
        <f t="shared" si="66"/>
        <v>754</v>
      </c>
      <c r="S60" s="341">
        <f>IF(COUNTBLANK(F60:O60)=10,"",SUM(G59:G68)+(Q60*120))</f>
        <v>798</v>
      </c>
      <c r="T60" s="303">
        <f t="shared" si="67"/>
        <v>5</v>
      </c>
      <c r="U60" s="276">
        <f t="shared" si="68"/>
        <v>9</v>
      </c>
      <c r="V60" s="276">
        <f t="shared" si="69"/>
        <v>0</v>
      </c>
      <c r="W60" s="276">
        <f t="shared" si="70"/>
        <v>507539202</v>
      </c>
      <c r="X60" s="276">
        <f>IF(W60=0,"",IF(W60=MAX($W$8,$W$21,$W$34,$W$47,$W$60),1,""))</f>
      </c>
      <c r="Y60" s="276" t="str">
        <f t="shared" si="71"/>
        <v>愛知</v>
      </c>
      <c r="Z60" s="276" t="str">
        <f t="shared" si="72"/>
        <v>島田 隆嗣</v>
      </c>
      <c r="AA60" s="342">
        <f>IF(ISERROR(VLOOKUP(F$6&amp;$C60,'◆（運営）③結果入力'!$D$16:$K$345,5,FALSE)),IF(VLOOKUP(F$6&amp;$C60,'◆（運営）③結果入力'!$E$16:$K$345,7,FALSE)="","",VLOOKUP(F$6&amp;$C60,'◆（運営）③結果入力'!$E$16:$K$345,7,FALSE)),IF(VLOOKUP(F$6&amp;$C60,'◆（運営）③結果入力'!$D$16:$K$345,5,FALSE)="","",VLOOKUP(F$6&amp;$C60,'◆（運営）③結果入力'!$D$16:$K$345,5,FALSE)))</f>
        <v>118</v>
      </c>
      <c r="AB60" s="386"/>
      <c r="AC60" s="343" t="str">
        <f>IF(ISERROR(VLOOKUP(H$6&amp;$C60,'◆（運営）③結果入力'!$D$16:$K$345,5,FALSE)),IF(VLOOKUP(H$6&amp;$C60,'◆（運営）③結果入力'!$E$16:$K$345,7,FALSE)="","",VLOOKUP(H$6&amp;$C60,'◆（運営）③結果入力'!$E$16:$K$345,7,FALSE)),IF(VLOOKUP(H$6&amp;$C60,'◆（運営）③結果入力'!$D$16:$K$345,5,FALSE)="","",VLOOKUP(H$6&amp;$C60,'◆（運営）③結果入力'!$D$16:$K$345,5,FALSE)))</f>
        <v>A120</v>
      </c>
      <c r="AD60" s="343">
        <f>IF(ISERROR(VLOOKUP(I$6&amp;$C60,'◆（運営）③結果入力'!$D$16:$K$345,5,FALSE)),IF(VLOOKUP(I$6&amp;$C60,'◆（運営）③結果入力'!$E$16:$K$345,7,FALSE)="","",VLOOKUP(I$6&amp;$C60,'◆（運営）③結果入力'!$E$16:$K$345,7,FALSE)),IF(VLOOKUP(I$6&amp;$C60,'◆（運営）③結果入力'!$D$16:$K$345,5,FALSE)="","",VLOOKUP(I$6&amp;$C60,'◆（運営）③結果入力'!$D$16:$K$345,5,FALSE)))</f>
      </c>
      <c r="AE60" s="343">
        <f>IF(ISERROR(VLOOKUP(J$6&amp;$C60,'◆（運営）③結果入力'!$D$16:$K$345,5,FALSE)),IF(VLOOKUP(J$6&amp;$C60,'◆（運営）③結果入力'!$E$16:$K$345,7,FALSE)="","",VLOOKUP(J$6&amp;$C60,'◆（運営）③結果入力'!$E$16:$K$345,7,FALSE)),IF(VLOOKUP(J$6&amp;$C60,'◆（運営）③結果入力'!$D$16:$K$345,5,FALSE)="","",VLOOKUP(J$6&amp;$C60,'◆（運営）③結果入力'!$D$16:$K$345,5,FALSE)))</f>
      </c>
      <c r="AF60" s="343">
        <f>IF(ISERROR(VLOOKUP(K$6&amp;$C60,'◆（運営）③結果入力'!$D$16:$K$345,5,FALSE)),IF(VLOOKUP(K$6&amp;$C60,'◆（運営）③結果入力'!$E$16:$K$345,7,FALSE)="","",VLOOKUP(K$6&amp;$C60,'◆（運営）③結果入力'!$E$16:$K$345,7,FALSE)),IF(VLOOKUP(K$6&amp;$C60,'◆（運営）③結果入力'!$D$16:$K$345,5,FALSE)="","",VLOOKUP(K$6&amp;$C60,'◆（運営）③結果入力'!$D$16:$K$345,5,FALSE)))</f>
      </c>
      <c r="AG60" s="343">
        <f>IF(ISERROR(VLOOKUP(L$6&amp;$C60,'◆（運営）③結果入力'!$D$16:$K$345,5,FALSE)),IF(VLOOKUP(L$6&amp;$C60,'◆（運営）③結果入力'!$E$16:$K$345,7,FALSE)="","",VLOOKUP(L$6&amp;$C60,'◆（運営）③結果入力'!$E$16:$K$345,7,FALSE)),IF(VLOOKUP(L$6&amp;$C60,'◆（運営）③結果入力'!$D$16:$K$345,5,FALSE)="","",VLOOKUP(L$6&amp;$C60,'◆（運営）③結果入力'!$D$16:$K$345,5,FALSE)))</f>
      </c>
      <c r="AH60" s="343">
        <f>IF(ISERROR(VLOOKUP(M$6&amp;$C60,'◆（運営）③結果入力'!$D$16:$K$345,5,FALSE)),IF(VLOOKUP(M$6&amp;$C60,'◆（運営）③結果入力'!$E$16:$K$345,7,FALSE)="","",VLOOKUP(M$6&amp;$C60,'◆（運営）③結果入力'!$E$16:$K$345,7,FALSE)),IF(VLOOKUP(M$6&amp;$C60,'◆（運営）③結果入力'!$D$16:$K$345,5,FALSE)="","",VLOOKUP(M$6&amp;$C60,'◆（運営）③結果入力'!$D$16:$K$345,5,FALSE)))</f>
      </c>
      <c r="AI60" s="343">
        <f>IF(ISERROR(VLOOKUP(N$6&amp;$C60,'◆（運営）③結果入力'!$D$16:$K$345,5,FALSE)),IF(VLOOKUP(N$6&amp;$C60,'◆（運営）③結果入力'!$E$16:$K$345,7,FALSE)="","",VLOOKUP(N$6&amp;$C60,'◆（運営）③結果入力'!$E$16:$K$345,7,FALSE)),IF(VLOOKUP(N$6&amp;$C60,'◆（運営）③結果入力'!$D$16:$K$345,5,FALSE)="","",VLOOKUP(N$6&amp;$C60,'◆（運営）③結果入力'!$D$16:$K$345,5,FALSE)))</f>
      </c>
      <c r="AJ60" s="343">
        <f>IF(O58="","",IF(ISERROR(VLOOKUP(O$6&amp;$C60,'◆（運営）③結果入力'!$D$16:$K$345,5,FALSE)),IF(VLOOKUP(O$6&amp;$C60,'◆（運営）③結果入力'!$E$16:$K$345,7,FALSE)="","",VLOOKUP(O$6&amp;$C60,'◆（運営）③結果入力'!$E$16:$K$345,7,FALSE)),IF(VLOOKUP(O$6&amp;$C60,'◆（運営）③結果入力'!$D$16:$K$345,5,FALSE)="","",VLOOKUP(O$6&amp;$C60,'◆（運営）③結果入力'!$D$16:$K$345,5,FALSE))))</f>
      </c>
      <c r="AK60" s="343"/>
      <c r="AL60" s="344"/>
      <c r="AM60" s="345" t="str">
        <f t="shared" si="73"/>
        <v>A120</v>
      </c>
      <c r="AO60" s="335">
        <f t="shared" si="74"/>
        <v>1</v>
      </c>
      <c r="AP60" s="335">
        <f t="shared" si="75"/>
        <v>0</v>
      </c>
      <c r="AQ60" s="335">
        <f t="shared" si="76"/>
        <v>118</v>
      </c>
      <c r="AR60" s="335">
        <f t="shared" si="77"/>
        <v>1000118</v>
      </c>
      <c r="AS60" s="335">
        <f t="shared" si="78"/>
        <v>1</v>
      </c>
    </row>
    <row r="61" spans="1:45" ht="12" customHeight="1">
      <c r="A61" s="274">
        <v>3</v>
      </c>
      <c r="B61" s="315" t="str">
        <f t="shared" si="63"/>
        <v>京都</v>
      </c>
      <c r="C61" s="316" t="str">
        <f>IF(B61="","",VLOOKUP(B61,'ブロック表'!$C$4:$N$15,11,FALSE))</f>
        <v>山下 直生</v>
      </c>
      <c r="D61" s="317"/>
      <c r="E61" s="318"/>
      <c r="F61" s="319" t="str">
        <f>IF(ISERROR(VLOOKUP(F$6&amp;$C61,'◆（運営）③結果入力'!$D$16:$I$345,6,FALSE)),IF(VLOOKUP(F$6&amp;$C61,'◆（運営）③結果入力'!$E$16:$J$345,6,FALSE)="","",VLOOKUP(F$6&amp;$C61,'◆（運営）③結果入力'!$E$16:$J$345,6,FALSE)),IF(VLOOKUP(F$6&amp;$C61,'◆（運営）③結果入力'!$D$16:$I$345,6,FALSE)="","",VLOOKUP(F$6&amp;$C61,'◆（運営）③結果入力'!$D$16:$I$345,6,FALSE)))</f>
        <v>W</v>
      </c>
      <c r="G61" s="320">
        <f>IF(ISERROR(VLOOKUP(G$6&amp;$C61,'◆（運営）③結果入力'!$D$16:$I$345,6,FALSE)),IF(VLOOKUP(G$6&amp;$C61,'◆（運営）③結果入力'!$E$16:$J$345,6,FALSE)="","",VLOOKUP(G$6&amp;$C61,'◆（運営）③結果入力'!$E$16:$J$345,6,FALSE)),IF(VLOOKUP(G$6&amp;$C61,'◆（運営）③結果入力'!$D$16:$I$345,6,FALSE)="","",VLOOKUP(G$6&amp;$C61,'◆（運営）③結果入力'!$D$16:$I$345,6,FALSE)))</f>
        <v>0</v>
      </c>
      <c r="H61" s="383"/>
      <c r="I61" s="320" t="str">
        <f>IF(ISERROR(VLOOKUP(I$6&amp;$C61,'◆（運営）③結果入力'!$D$16:$I$345,6,FALSE)),IF(VLOOKUP(I$6&amp;$C61,'◆（運営）③結果入力'!$E$16:$J$345,6,FALSE)="","",VLOOKUP(I$6&amp;$C61,'◆（運営）③結果入力'!$E$16:$J$345,6,FALSE)),IF(VLOOKUP(I$6&amp;$C61,'◆（運営）③結果入力'!$D$16:$I$345,6,FALSE)="","",VLOOKUP(I$6&amp;$C61,'◆（運営）③結果入力'!$D$16:$I$345,6,FALSE)))</f>
        <v>W</v>
      </c>
      <c r="J61" s="320">
        <f>IF(ISERROR(VLOOKUP(J$6&amp;$C61,'◆（運営）③結果入力'!$D$16:$I$345,6,FALSE)),IF(VLOOKUP(J$6&amp;$C61,'◆（運営）③結果入力'!$E$16:$J$345,6,FALSE)="","",VLOOKUP(J$6&amp;$C61,'◆（運営）③結果入力'!$E$16:$J$345,6,FALSE)),IF(VLOOKUP(J$6&amp;$C61,'◆（運営）③結果入力'!$D$16:$I$345,6,FALSE)="","",VLOOKUP(J$6&amp;$C61,'◆（運営）③結果入力'!$D$16:$I$345,6,FALSE)))</f>
        <v>78</v>
      </c>
      <c r="K61" s="320" t="str">
        <f>IF(ISERROR(VLOOKUP(K$6&amp;$C61,'◆（運営）③結果入力'!$D$16:$I$345,6,FALSE)),IF(VLOOKUP(K$6&amp;$C61,'◆（運営）③結果入力'!$E$16:$J$345,6,FALSE)="","",VLOOKUP(K$6&amp;$C61,'◆（運営）③結果入力'!$E$16:$J$345,6,FALSE)),IF(VLOOKUP(K$6&amp;$C61,'◆（運営）③結果入力'!$D$16:$I$345,6,FALSE)="","",VLOOKUP(K$6&amp;$C61,'◆（運営）③結果入力'!$D$16:$I$345,6,FALSE)))</f>
        <v>W</v>
      </c>
      <c r="L61" s="320">
        <f>IF(ISERROR(VLOOKUP(L$6&amp;$C61,'◆（運営）③結果入力'!$D$16:$I$345,6,FALSE)),IF(VLOOKUP(L$6&amp;$C61,'◆（運営）③結果入力'!$E$16:$J$345,6,FALSE)="","",VLOOKUP(L$6&amp;$C61,'◆（運営）③結果入力'!$E$16:$J$345,6,FALSE)),IF(VLOOKUP(L$6&amp;$C61,'◆（運営）③結果入力'!$D$16:$I$345,6,FALSE)="","",VLOOKUP(L$6&amp;$C61,'◆（運営）③結果入力'!$D$16:$I$345,6,FALSE)))</f>
        <v>71</v>
      </c>
      <c r="M61" s="320">
        <f>IF(ISERROR(VLOOKUP(M$6&amp;$C61,'◆（運営）③結果入力'!$D$16:$I$345,6,FALSE)),IF(VLOOKUP(M$6&amp;$C61,'◆（運営）③結果入力'!$E$16:$J$345,6,FALSE)="","",VLOOKUP(M$6&amp;$C61,'◆（運営）③結果入力'!$E$16:$J$345,6,FALSE)),IF(VLOOKUP(M$6&amp;$C61,'◆（運営）③結果入力'!$D$16:$I$345,6,FALSE)="","",VLOOKUP(M$6&amp;$C61,'◆（運営）③結果入力'!$D$16:$I$345,6,FALSE)))</f>
        <v>22</v>
      </c>
      <c r="N61" s="320" t="str">
        <f>IF(ISERROR(VLOOKUP(N$6&amp;$C61,'◆（運営）③結果入力'!$D$16:$I$345,6,FALSE)),IF(VLOOKUP(N$6&amp;$C61,'◆（運営）③結果入力'!$E$16:$J$345,6,FALSE)="","",VLOOKUP(N$6&amp;$C61,'◆（運営）③結果入力'!$E$16:$J$345,6,FALSE)),IF(VLOOKUP(N$6&amp;$C61,'◆（運営）③結果入力'!$D$16:$I$345,6,FALSE)="","",VLOOKUP(N$6&amp;$C61,'◆（運営）③結果入力'!$D$16:$I$345,6,FALSE)))</f>
        <v>W</v>
      </c>
      <c r="O61" s="320">
        <f>IF(O58="","",IF(ISERROR(VLOOKUP(O$6&amp;$C61,'◆（運営）③結果入力'!$D$16:$I$345,6,FALSE)),IF(VLOOKUP(O$6&amp;$C61,'◆（運営）③結果入力'!$E$16:$J$345,6,FALSE)="","",VLOOKUP(O$6&amp;$C61,'◆（運営）③結果入力'!$E$16:$J$345,6,FALSE)),IF(VLOOKUP(O$6&amp;$C61,'◆（運営）③結果入力'!$D$16:$I$345,6,FALSE)="","",VLOOKUP(O$6&amp;$C61,'◆（運営）③結果入力'!$D$16:$I$345,6,FALSE))))</f>
        <v>118</v>
      </c>
      <c r="P61" s="340">
        <f t="shared" si="64"/>
        <v>4</v>
      </c>
      <c r="Q61" s="200">
        <f t="shared" si="65"/>
        <v>5</v>
      </c>
      <c r="R61" s="341">
        <f t="shared" si="66"/>
        <v>769</v>
      </c>
      <c r="S61" s="341">
        <f>IF(COUNTBLANK(F61:O61)=10,"",SUM(H59:H68)+(Q61*120))</f>
        <v>747</v>
      </c>
      <c r="T61" s="303">
        <f t="shared" si="67"/>
        <v>8</v>
      </c>
      <c r="U61" s="276">
        <f t="shared" si="68"/>
        <v>9</v>
      </c>
      <c r="V61" s="276">
        <f t="shared" si="69"/>
        <v>0</v>
      </c>
      <c r="W61" s="276">
        <f t="shared" si="70"/>
        <v>407689253</v>
      </c>
      <c r="X61" s="276">
        <f>IF(W61=0,"",IF(W61=MAX($W$9,$W$22,$W$35,$W$48,$W$61),1,""))</f>
      </c>
      <c r="Y61" s="276" t="str">
        <f t="shared" si="71"/>
        <v>京都</v>
      </c>
      <c r="Z61" s="276" t="str">
        <f t="shared" si="72"/>
        <v>山下 直生</v>
      </c>
      <c r="AA61" s="342">
        <f>IF(ISERROR(VLOOKUP(F$6&amp;$C61,'◆（運営）③結果入力'!$D$16:$K$345,5,FALSE)),IF(VLOOKUP(F$6&amp;$C61,'◆（運営）③結果入力'!$E$16:$K$345,7,FALSE)="","",VLOOKUP(F$6&amp;$C61,'◆（運営）③結果入力'!$E$16:$K$345,7,FALSE)),IF(VLOOKUP(F$6&amp;$C61,'◆（運営）③結果入力'!$D$16:$K$345,5,FALSE)="","",VLOOKUP(F$6&amp;$C61,'◆（運営）③結果入力'!$D$16:$K$345,5,FALSE)))</f>
      </c>
      <c r="AB61" s="343">
        <f>IF(ISERROR(VLOOKUP(G$6&amp;$C61,'◆（運営）③結果入力'!$D$16:$K$345,5,FALSE)),IF(VLOOKUP(G$6&amp;$C61,'◆（運営）③結果入力'!$E$16:$K$345,7,FALSE)="","",VLOOKUP(G$6&amp;$C61,'◆（運営）③結果入力'!$E$16:$K$345,7,FALSE)),IF(VLOOKUP(G$6&amp;$C61,'◆（運営）③結果入力'!$D$16:$K$345,5,FALSE)="","",VLOOKUP(G$6&amp;$C61,'◆（運営）③結果入力'!$D$16:$K$345,5,FALSE)))</f>
      </c>
      <c r="AC61" s="386"/>
      <c r="AD61" s="343">
        <f>IF(ISERROR(VLOOKUP(I$6&amp;$C61,'◆（運営）③結果入力'!$D$16:$K$345,5,FALSE)),IF(VLOOKUP(I$6&amp;$C61,'◆（運営）③結果入力'!$E$16:$K$345,7,FALSE)="","",VLOOKUP(I$6&amp;$C61,'◆（運営）③結果入力'!$E$16:$K$345,7,FALSE)),IF(VLOOKUP(I$6&amp;$C61,'◆（運営）③結果入力'!$D$16:$K$345,5,FALSE)="","",VLOOKUP(I$6&amp;$C61,'◆（運営）③結果入力'!$D$16:$K$345,5,FALSE)))</f>
      </c>
      <c r="AE61" s="343">
        <f>IF(ISERROR(VLOOKUP(J$6&amp;$C61,'◆（運営）③結果入力'!$D$16:$K$345,5,FALSE)),IF(VLOOKUP(J$6&amp;$C61,'◆（運営）③結果入力'!$E$16:$K$345,7,FALSE)="","",VLOOKUP(J$6&amp;$C61,'◆（運営）③結果入力'!$E$16:$K$345,7,FALSE)),IF(VLOOKUP(J$6&amp;$C61,'◆（運営）③結果入力'!$D$16:$K$345,5,FALSE)="","",VLOOKUP(J$6&amp;$C61,'◆（運営）③結果入力'!$D$16:$K$345,5,FALSE)))</f>
      </c>
      <c r="AF61" s="343">
        <f>IF(ISERROR(VLOOKUP(K$6&amp;$C61,'◆（運営）③結果入力'!$D$16:$K$345,5,FALSE)),IF(VLOOKUP(K$6&amp;$C61,'◆（運営）③結果入力'!$E$16:$K$345,7,FALSE)="","",VLOOKUP(K$6&amp;$C61,'◆（運営）③結果入力'!$E$16:$K$345,7,FALSE)),IF(VLOOKUP(K$6&amp;$C61,'◆（運営）③結果入力'!$D$16:$K$345,5,FALSE)="","",VLOOKUP(K$6&amp;$C61,'◆（運営）③結果入力'!$D$16:$K$345,5,FALSE)))</f>
      </c>
      <c r="AG61" s="343">
        <f>IF(ISERROR(VLOOKUP(L$6&amp;$C61,'◆（運営）③結果入力'!$D$16:$K$345,5,FALSE)),IF(VLOOKUP(L$6&amp;$C61,'◆（運営）③結果入力'!$E$16:$K$345,7,FALSE)="","",VLOOKUP(L$6&amp;$C61,'◆（運営）③結果入力'!$E$16:$K$345,7,FALSE)),IF(VLOOKUP(L$6&amp;$C61,'◆（運営）③結果入力'!$D$16:$K$345,5,FALSE)="","",VLOOKUP(L$6&amp;$C61,'◆（運営）③結果入力'!$D$16:$K$345,5,FALSE)))</f>
      </c>
      <c r="AH61" s="343">
        <f>IF(ISERROR(VLOOKUP(M$6&amp;$C61,'◆（運営）③結果入力'!$D$16:$K$345,5,FALSE)),IF(VLOOKUP(M$6&amp;$C61,'◆（運営）③結果入力'!$E$16:$K$345,7,FALSE)="","",VLOOKUP(M$6&amp;$C61,'◆（運営）③結果入力'!$E$16:$K$345,7,FALSE)),IF(VLOOKUP(M$6&amp;$C61,'◆（運営）③結果入力'!$D$16:$K$345,5,FALSE)="","",VLOOKUP(M$6&amp;$C61,'◆（運営）③結果入力'!$D$16:$K$345,5,FALSE)))</f>
      </c>
      <c r="AI61" s="343">
        <f>IF(ISERROR(VLOOKUP(N$6&amp;$C61,'◆（運営）③結果入力'!$D$16:$K$345,5,FALSE)),IF(VLOOKUP(N$6&amp;$C61,'◆（運営）③結果入力'!$E$16:$K$345,7,FALSE)="","",VLOOKUP(N$6&amp;$C61,'◆（運営）③結果入力'!$E$16:$K$345,7,FALSE)),IF(VLOOKUP(N$6&amp;$C61,'◆（運営）③結果入力'!$D$16:$K$345,5,FALSE)="","",VLOOKUP(N$6&amp;$C61,'◆（運営）③結果入力'!$D$16:$K$345,5,FALSE)))</f>
      </c>
      <c r="AJ61" s="343">
        <f>IF(O58="","",IF(ISERROR(VLOOKUP(O$6&amp;$C61,'◆（運営）③結果入力'!$D$16:$K$345,5,FALSE)),IF(VLOOKUP(O$6&amp;$C61,'◆（運営）③結果入力'!$E$16:$K$345,7,FALSE)="","",VLOOKUP(O$6&amp;$C61,'◆（運営）③結果入力'!$E$16:$K$345,7,FALSE)),IF(VLOOKUP(O$6&amp;$C61,'◆（運営）③結果入力'!$D$16:$K$345,5,FALSE)="","",VLOOKUP(O$6&amp;$C61,'◆（運営）③結果入力'!$D$16:$K$345,5,FALSE))))</f>
      </c>
      <c r="AK61" s="343"/>
      <c r="AL61" s="344"/>
      <c r="AM61" s="345">
        <f t="shared" si="73"/>
      </c>
      <c r="AO61" s="335">
        <f t="shared" si="74"/>
        <v>0</v>
      </c>
      <c r="AP61" s="335">
        <f t="shared" si="75"/>
        <v>0</v>
      </c>
      <c r="AQ61" s="335">
        <f t="shared" si="76"/>
        <v>0</v>
      </c>
      <c r="AR61" s="335">
        <f t="shared" si="77"/>
        <v>0</v>
      </c>
      <c r="AS61" s="335">
        <f t="shared" si="78"/>
        <v>17</v>
      </c>
    </row>
    <row r="62" spans="1:45" ht="12" customHeight="1">
      <c r="A62" s="274">
        <v>4</v>
      </c>
      <c r="B62" s="315" t="str">
        <f t="shared" si="63"/>
        <v>大阪A</v>
      </c>
      <c r="C62" s="316" t="str">
        <f>IF(B62="","",VLOOKUP(B62,'ブロック表'!$C$4:$N$15,11,FALSE))</f>
        <v>山田 玄英</v>
      </c>
      <c r="D62" s="317"/>
      <c r="E62" s="318"/>
      <c r="F62" s="319">
        <f>IF(ISERROR(VLOOKUP(F$6&amp;$C62,'◆（運営）③結果入力'!$D$16:$I$345,6,FALSE)),IF(VLOOKUP(F$6&amp;$C62,'◆（運営）③結果入力'!$E$16:$J$345,6,FALSE)="","",VLOOKUP(F$6&amp;$C62,'◆（運営）③結果入力'!$E$16:$J$345,6,FALSE)),IF(VLOOKUP(F$6&amp;$C62,'◆（運営）③結果入力'!$D$16:$I$345,6,FALSE)="","",VLOOKUP(F$6&amp;$C62,'◆（運営）③結果入力'!$D$16:$I$345,6,FALSE)))</f>
        <v>96</v>
      </c>
      <c r="G62" s="320" t="str">
        <f>IF(ISERROR(VLOOKUP(G$6&amp;$C62,'◆（運営）③結果入力'!$D$16:$I$345,6,FALSE)),IF(VLOOKUP(G$6&amp;$C62,'◆（運営）③結果入力'!$E$16:$J$345,6,FALSE)="","",VLOOKUP(G$6&amp;$C62,'◆（運営）③結果入力'!$E$16:$J$345,6,FALSE)),IF(VLOOKUP(G$6&amp;$C62,'◆（運営）③結果入力'!$D$16:$I$345,6,FALSE)="","",VLOOKUP(G$6&amp;$C62,'◆（運営）③結果入力'!$D$16:$I$345,6,FALSE)))</f>
        <v>W</v>
      </c>
      <c r="H62" s="320">
        <f>IF(ISERROR(VLOOKUP(H$6&amp;$C62,'◆（運営）③結果入力'!$D$16:$I$345,6,FALSE)),IF(VLOOKUP(H$6&amp;$C62,'◆（運営）③結果入力'!$E$16:$J$345,6,FALSE)="","",VLOOKUP(H$6&amp;$C62,'◆（運営）③結果入力'!$E$16:$J$345,6,FALSE)),IF(VLOOKUP(H$6&amp;$C62,'◆（運営）③結果入力'!$D$16:$I$345,6,FALSE)="","",VLOOKUP(H$6&amp;$C62,'◆（運営）③結果入力'!$D$16:$I$345,6,FALSE)))</f>
        <v>86</v>
      </c>
      <c r="I62" s="383"/>
      <c r="J62" s="320" t="str">
        <f>IF(ISERROR(VLOOKUP(J$6&amp;$C62,'◆（運営）③結果入力'!$D$16:$I$345,6,FALSE)),IF(VLOOKUP(J$6&amp;$C62,'◆（運営）③結果入力'!$E$16:$J$345,6,FALSE)="","",VLOOKUP(J$6&amp;$C62,'◆（運営）③結果入力'!$E$16:$J$345,6,FALSE)),IF(VLOOKUP(J$6&amp;$C62,'◆（運営）③結果入力'!$D$16:$I$345,6,FALSE)="","",VLOOKUP(J$6&amp;$C62,'◆（運営）③結果入力'!$D$16:$I$345,6,FALSE)))</f>
        <v>W</v>
      </c>
      <c r="K62" s="320" t="str">
        <f>IF(ISERROR(VLOOKUP(K$6&amp;$C62,'◆（運営）③結果入力'!$D$16:$I$345,6,FALSE)),IF(VLOOKUP(K$6&amp;$C62,'◆（運営）③結果入力'!$E$16:$J$345,6,FALSE)="","",VLOOKUP(K$6&amp;$C62,'◆（運営）③結果入力'!$E$16:$J$345,6,FALSE)),IF(VLOOKUP(K$6&amp;$C62,'◆（運営）③結果入力'!$D$16:$I$345,6,FALSE)="","",VLOOKUP(K$6&amp;$C62,'◆（運営）③結果入力'!$D$16:$I$345,6,FALSE)))</f>
        <v>W</v>
      </c>
      <c r="L62" s="320" t="str">
        <f>IF(ISERROR(VLOOKUP(L$6&amp;$C62,'◆（運営）③結果入力'!$D$16:$I$345,6,FALSE)),IF(VLOOKUP(L$6&amp;$C62,'◆（運営）③結果入力'!$E$16:$J$345,6,FALSE)="","",VLOOKUP(L$6&amp;$C62,'◆（運営）③結果入力'!$E$16:$J$345,6,FALSE)),IF(VLOOKUP(L$6&amp;$C62,'◆（運営）③結果入力'!$D$16:$I$345,6,FALSE)="","",VLOOKUP(L$6&amp;$C62,'◆（運営）③結果入力'!$D$16:$I$345,6,FALSE)))</f>
        <v>W</v>
      </c>
      <c r="M62" s="320" t="str">
        <f>IF(ISERROR(VLOOKUP(M$6&amp;$C62,'◆（運営）③結果入力'!$D$16:$I$345,6,FALSE)),IF(VLOOKUP(M$6&amp;$C62,'◆（運営）③結果入力'!$E$16:$J$345,6,FALSE)="","",VLOOKUP(M$6&amp;$C62,'◆（運営）③結果入力'!$E$16:$J$345,6,FALSE)),IF(VLOOKUP(M$6&amp;$C62,'◆（運営）③結果入力'!$D$16:$I$345,6,FALSE)="","",VLOOKUP(M$6&amp;$C62,'◆（運営）③結果入力'!$D$16:$I$345,6,FALSE)))</f>
        <v>W</v>
      </c>
      <c r="N62" s="320" t="str">
        <f>IF(ISERROR(VLOOKUP(N$6&amp;$C62,'◆（運営）③結果入力'!$D$16:$I$345,6,FALSE)),IF(VLOOKUP(N$6&amp;$C62,'◆（運営）③結果入力'!$E$16:$J$345,6,FALSE)="","",VLOOKUP(N$6&amp;$C62,'◆（運営）③結果入力'!$E$16:$J$345,6,FALSE)),IF(VLOOKUP(N$6&amp;$C62,'◆（運営）③結果入力'!$D$16:$I$345,6,FALSE)="","",VLOOKUP(N$6&amp;$C62,'◆（運営）③結果入力'!$D$16:$I$345,6,FALSE)))</f>
        <v>W</v>
      </c>
      <c r="O62" s="320" t="str">
        <f>IF(O58="","",IF(ISERROR(VLOOKUP(O$6&amp;$C62,'◆（運営）③結果入力'!$D$16:$I$345,6,FALSE)),IF(VLOOKUP(O$6&amp;$C62,'◆（運営）③結果入力'!$E$16:$J$345,6,FALSE)="","",VLOOKUP(O$6&amp;$C62,'◆（運営）③結果入力'!$E$16:$J$345,6,FALSE)),IF(VLOOKUP(O$6&amp;$C62,'◆（運営）③結果入力'!$D$16:$I$345,6,FALSE)="","",VLOOKUP(O$6&amp;$C62,'◆（運営）③結果入力'!$D$16:$I$345,6,FALSE))))</f>
        <v>W</v>
      </c>
      <c r="P62" s="340">
        <f t="shared" si="64"/>
        <v>7</v>
      </c>
      <c r="Q62" s="200">
        <f t="shared" si="65"/>
        <v>2</v>
      </c>
      <c r="R62" s="341">
        <f t="shared" si="66"/>
        <v>1022</v>
      </c>
      <c r="S62" s="341">
        <f>IF(COUNTBLANK(F62:O62)=10,"",SUM(I59:I68)+(Q62*120))</f>
        <v>566</v>
      </c>
      <c r="T62" s="303">
        <f t="shared" si="67"/>
        <v>1</v>
      </c>
      <c r="U62" s="276">
        <f t="shared" si="68"/>
        <v>9</v>
      </c>
      <c r="V62" s="276">
        <f t="shared" si="69"/>
        <v>0</v>
      </c>
      <c r="W62" s="276">
        <f t="shared" si="70"/>
        <v>710219434</v>
      </c>
      <c r="X62" s="276">
        <f>IF(W62=0,"",IF(W62=MAX($W$10,$W$23,$W$36,$W$49,$W$62),1,""))</f>
        <v>1</v>
      </c>
      <c r="Y62" s="276" t="str">
        <f t="shared" si="71"/>
        <v>1大阪A</v>
      </c>
      <c r="Z62" s="276" t="str">
        <f t="shared" si="72"/>
        <v>山田 玄英</v>
      </c>
      <c r="AA62" s="342">
        <f>IF(ISERROR(VLOOKUP(F$6&amp;$C62,'◆（運営）③結果入力'!$D$16:$K$345,5,FALSE)),IF(VLOOKUP(F$6&amp;$C62,'◆（運営）③結果入力'!$E$16:$K$345,7,FALSE)="","",VLOOKUP(F$6&amp;$C62,'◆（運営）③結果入力'!$E$16:$K$345,7,FALSE)),IF(VLOOKUP(F$6&amp;$C62,'◆（運営）③結果入力'!$D$16:$K$345,5,FALSE)="","",VLOOKUP(F$6&amp;$C62,'◆（運営）③結果入力'!$D$16:$K$345,5,FALSE)))</f>
      </c>
      <c r="AB62" s="343">
        <f>IF(ISERROR(VLOOKUP(G$6&amp;$C62,'◆（運営）③結果入力'!$D$16:$K$345,5,FALSE)),IF(VLOOKUP(G$6&amp;$C62,'◆（運営）③結果入力'!$E$16:$K$345,7,FALSE)="","",VLOOKUP(G$6&amp;$C62,'◆（運営）③結果入力'!$E$16:$K$345,7,FALSE)),IF(VLOOKUP(G$6&amp;$C62,'◆（運営）③結果入力'!$D$16:$K$345,5,FALSE)="","",VLOOKUP(G$6&amp;$C62,'◆（運営）③結果入力'!$D$16:$K$345,5,FALSE)))</f>
      </c>
      <c r="AC62" s="343">
        <f>IF(ISERROR(VLOOKUP(H$6&amp;$C62,'◆（運営）③結果入力'!$D$16:$K$345,5,FALSE)),IF(VLOOKUP(H$6&amp;$C62,'◆（運営）③結果入力'!$E$16:$K$345,7,FALSE)="","",VLOOKUP(H$6&amp;$C62,'◆（運営）③結果入力'!$E$16:$K$345,7,FALSE)),IF(VLOOKUP(H$6&amp;$C62,'◆（運営）③結果入力'!$D$16:$K$345,5,FALSE)="","",VLOOKUP(H$6&amp;$C62,'◆（運営）③結果入力'!$D$16:$K$345,5,FALSE)))</f>
      </c>
      <c r="AD62" s="386"/>
      <c r="AE62" s="343">
        <f>IF(ISERROR(VLOOKUP(J$6&amp;$C62,'◆（運営）③結果入力'!$D$16:$K$345,5,FALSE)),IF(VLOOKUP(J$6&amp;$C62,'◆（運営）③結果入力'!$E$16:$K$345,7,FALSE)="","",VLOOKUP(J$6&amp;$C62,'◆（運営）③結果入力'!$E$16:$K$345,7,FALSE)),IF(VLOOKUP(J$6&amp;$C62,'◆（運営）③結果入力'!$D$16:$K$345,5,FALSE)="","",VLOOKUP(J$6&amp;$C62,'◆（運営）③結果入力'!$D$16:$K$345,5,FALSE)))</f>
      </c>
      <c r="AF62" s="343">
        <f>IF(ISERROR(VLOOKUP(K$6&amp;$C62,'◆（運営）③結果入力'!$D$16:$K$345,5,FALSE)),IF(VLOOKUP(K$6&amp;$C62,'◆（運営）③結果入力'!$E$16:$K$345,7,FALSE)="","",VLOOKUP(K$6&amp;$C62,'◆（運営）③結果入力'!$E$16:$K$345,7,FALSE)),IF(VLOOKUP(K$6&amp;$C62,'◆（運営）③結果入力'!$D$16:$K$345,5,FALSE)="","",VLOOKUP(K$6&amp;$C62,'◆（運営）③結果入力'!$D$16:$K$345,5,FALSE)))</f>
        <v>115</v>
      </c>
      <c r="AG62" s="343">
        <f>IF(ISERROR(VLOOKUP(L$6&amp;$C62,'◆（運営）③結果入力'!$D$16:$K$345,5,FALSE)),IF(VLOOKUP(L$6&amp;$C62,'◆（運営）③結果入力'!$E$16:$K$345,7,FALSE)="","",VLOOKUP(L$6&amp;$C62,'◆（運営）③結果入力'!$E$16:$K$345,7,FALSE)),IF(VLOOKUP(L$6&amp;$C62,'◆（運営）③結果入力'!$D$16:$K$345,5,FALSE)="","",VLOOKUP(L$6&amp;$C62,'◆（運営）③結果入力'!$D$16:$K$345,5,FALSE)))</f>
      </c>
      <c r="AH62" s="343">
        <f>IF(ISERROR(VLOOKUP(M$6&amp;$C62,'◆（運営）③結果入力'!$D$16:$K$345,5,FALSE)),IF(VLOOKUP(M$6&amp;$C62,'◆（運営）③結果入力'!$E$16:$K$345,7,FALSE)="","",VLOOKUP(M$6&amp;$C62,'◆（運営）③結果入力'!$E$16:$K$345,7,FALSE)),IF(VLOOKUP(M$6&amp;$C62,'◆（運営）③結果入力'!$D$16:$K$345,5,FALSE)="","",VLOOKUP(M$6&amp;$C62,'◆（運営）③結果入力'!$D$16:$K$345,5,FALSE)))</f>
      </c>
      <c r="AI62" s="343">
        <f>IF(ISERROR(VLOOKUP(N$6&amp;$C62,'◆（運営）③結果入力'!$D$16:$K$345,5,FALSE)),IF(VLOOKUP(N$6&amp;$C62,'◆（運営）③結果入力'!$E$16:$K$345,7,FALSE)="","",VLOOKUP(N$6&amp;$C62,'◆（運営）③結果入力'!$E$16:$K$345,7,FALSE)),IF(VLOOKUP(N$6&amp;$C62,'◆（運営）③結果入力'!$D$16:$K$345,5,FALSE)="","",VLOOKUP(N$6&amp;$C62,'◆（運営）③結果入力'!$D$16:$K$345,5,FALSE)))</f>
      </c>
      <c r="AJ62" s="343">
        <f>IF(O58="","",IF(ISERROR(VLOOKUP(O$6&amp;$C62,'◆（運営）③結果入力'!$D$16:$K$345,5,FALSE)),IF(VLOOKUP(O$6&amp;$C62,'◆（運営）③結果入力'!$E$16:$K$345,7,FALSE)="","",VLOOKUP(O$6&amp;$C62,'◆（運営）③結果入力'!$E$16:$K$345,7,FALSE)),IF(VLOOKUP(O$6&amp;$C62,'◆（運営）③結果入力'!$D$16:$K$345,5,FALSE)="","",VLOOKUP(O$6&amp;$C62,'◆（運営）③結果入力'!$D$16:$K$345,5,FALSE))))</f>
      </c>
      <c r="AK62" s="343"/>
      <c r="AL62" s="344"/>
      <c r="AM62" s="345">
        <f t="shared" si="73"/>
        <v>115</v>
      </c>
      <c r="AO62" s="335">
        <f t="shared" si="74"/>
        <v>0</v>
      </c>
      <c r="AP62" s="335">
        <f t="shared" si="75"/>
        <v>0</v>
      </c>
      <c r="AQ62" s="335">
        <f t="shared" si="76"/>
        <v>115</v>
      </c>
      <c r="AR62" s="335">
        <f t="shared" si="77"/>
        <v>115</v>
      </c>
      <c r="AS62" s="335">
        <f t="shared" si="78"/>
        <v>12</v>
      </c>
    </row>
    <row r="63" spans="1:45" ht="12" customHeight="1">
      <c r="A63" s="274">
        <v>5</v>
      </c>
      <c r="B63" s="315" t="str">
        <f t="shared" si="63"/>
        <v>和歌山</v>
      </c>
      <c r="C63" s="316" t="str">
        <f>IF(B63="","",VLOOKUP(B63,'ブロック表'!$C$4:$N$15,11,FALSE))</f>
        <v>和田 宗一郎</v>
      </c>
      <c r="D63" s="317"/>
      <c r="E63" s="318"/>
      <c r="F63" s="319" t="str">
        <f>IF(ISERROR(VLOOKUP(F$6&amp;$C63,'◆（運営）③結果入力'!$D$16:$I$345,6,FALSE)),IF(VLOOKUP(F$6&amp;$C63,'◆（運営）③結果入力'!$E$16:$J$345,6,FALSE)="","",VLOOKUP(F$6&amp;$C63,'◆（運営）③結果入力'!$E$16:$J$345,6,FALSE)),IF(VLOOKUP(F$6&amp;$C63,'◆（運営）③結果入力'!$D$16:$I$345,6,FALSE)="","",VLOOKUP(F$6&amp;$C63,'◆（運営）③結果入力'!$D$16:$I$345,6,FALSE)))</f>
        <v>W</v>
      </c>
      <c r="G63" s="320">
        <f>IF(ISERROR(VLOOKUP(G$6&amp;$C63,'◆（運営）③結果入力'!$D$16:$I$345,6,FALSE)),IF(VLOOKUP(G$6&amp;$C63,'◆（運営）③結果入力'!$E$16:$J$345,6,FALSE)="","",VLOOKUP(G$6&amp;$C63,'◆（運営）③結果入力'!$E$16:$J$345,6,FALSE)),IF(VLOOKUP(G$6&amp;$C63,'◆（運営）③結果入力'!$D$16:$I$345,6,FALSE)="","",VLOOKUP(G$6&amp;$C63,'◆（運営）③結果入力'!$D$16:$I$345,6,FALSE)))</f>
        <v>111</v>
      </c>
      <c r="H63" s="320" t="str">
        <f>IF(ISERROR(VLOOKUP(H$6&amp;$C63,'◆（運営）③結果入力'!$D$16:$I$345,6,FALSE)),IF(VLOOKUP(H$6&amp;$C63,'◆（運営）③結果入力'!$E$16:$J$345,6,FALSE)="","",VLOOKUP(H$6&amp;$C63,'◆（運営）③結果入力'!$E$16:$J$345,6,FALSE)),IF(VLOOKUP(H$6&amp;$C63,'◆（運営）③結果入力'!$D$16:$I$345,6,FALSE)="","",VLOOKUP(H$6&amp;$C63,'◆（運営）③結果入力'!$D$16:$I$345,6,FALSE)))</f>
        <v>W</v>
      </c>
      <c r="I63" s="320">
        <f>IF(ISERROR(VLOOKUP(I$6&amp;$C63,'◆（運営）③結果入力'!$D$16:$I$345,6,FALSE)),IF(VLOOKUP(I$6&amp;$C63,'◆（運営）③結果入力'!$E$16:$J$345,6,FALSE)="","",VLOOKUP(I$6&amp;$C63,'◆（運営）③結果入力'!$E$16:$J$345,6,FALSE)),IF(VLOOKUP(I$6&amp;$C63,'◆（運営）③結果入力'!$D$16:$I$345,6,FALSE)="","",VLOOKUP(I$6&amp;$C63,'◆（運営）③結果入力'!$D$16:$I$345,6,FALSE)))</f>
        <v>51</v>
      </c>
      <c r="J63" s="383"/>
      <c r="K63" s="320" t="str">
        <f>IF(ISERROR(VLOOKUP(K$6&amp;$C63,'◆（運営）③結果入力'!$D$16:$I$345,6,FALSE)),IF(VLOOKUP(K$6&amp;$C63,'◆（運営）③結果入力'!$E$16:$J$345,6,FALSE)="","",VLOOKUP(K$6&amp;$C63,'◆（運営）③結果入力'!$E$16:$J$345,6,FALSE)),IF(VLOOKUP(K$6&amp;$C63,'◆（運営）③結果入力'!$D$16:$I$345,6,FALSE)="","",VLOOKUP(K$6&amp;$C63,'◆（運営）③結果入力'!$D$16:$I$345,6,FALSE)))</f>
        <v>W</v>
      </c>
      <c r="L63" s="320">
        <f>IF(ISERROR(VLOOKUP(L$6&amp;$C63,'◆（運営）③結果入力'!$D$16:$I$345,6,FALSE)),IF(VLOOKUP(L$6&amp;$C63,'◆（運営）③結果入力'!$E$16:$J$345,6,FALSE)="","",VLOOKUP(L$6&amp;$C63,'◆（運営）③結果入力'!$E$16:$J$345,6,FALSE)),IF(VLOOKUP(L$6&amp;$C63,'◆（運営）③結果入力'!$D$16:$I$345,6,FALSE)="","",VLOOKUP(L$6&amp;$C63,'◆（運営）③結果入力'!$D$16:$I$345,6,FALSE)))</f>
        <v>53</v>
      </c>
      <c r="M63" s="320" t="str">
        <f>IF(ISERROR(VLOOKUP(M$6&amp;$C63,'◆（運営）③結果入力'!$D$16:$I$345,6,FALSE)),IF(VLOOKUP(M$6&amp;$C63,'◆（運営）③結果入力'!$E$16:$J$345,6,FALSE)="","",VLOOKUP(M$6&amp;$C63,'◆（運営）③結果入力'!$E$16:$J$345,6,FALSE)),IF(VLOOKUP(M$6&amp;$C63,'◆（運営）③結果入力'!$D$16:$I$345,6,FALSE)="","",VLOOKUP(M$6&amp;$C63,'◆（運営）③結果入力'!$D$16:$I$345,6,FALSE)))</f>
        <v>W</v>
      </c>
      <c r="N63" s="320">
        <f>IF(ISERROR(VLOOKUP(N$6&amp;$C63,'◆（運営）③結果入力'!$D$16:$I$345,6,FALSE)),IF(VLOOKUP(N$6&amp;$C63,'◆（運営）③結果入力'!$E$16:$J$345,6,FALSE)="","",VLOOKUP(N$6&amp;$C63,'◆（運営）③結果入力'!$E$16:$J$345,6,FALSE)),IF(VLOOKUP(N$6&amp;$C63,'◆（運営）③結果入力'!$D$16:$I$345,6,FALSE)="","",VLOOKUP(N$6&amp;$C63,'◆（運営）③結果入力'!$D$16:$I$345,6,FALSE)))</f>
        <v>98</v>
      </c>
      <c r="O63" s="320" t="str">
        <f>IF(O58="","",IF(ISERROR(VLOOKUP(O$6&amp;$C63,'◆（運営）③結果入力'!$D$16:$I$345,6,FALSE)),IF(VLOOKUP(O$6&amp;$C63,'◆（運営）③結果入力'!$E$16:$J$345,6,FALSE)="","",VLOOKUP(O$6&amp;$C63,'◆（運営）③結果入力'!$E$16:$J$345,6,FALSE)),IF(VLOOKUP(O$6&amp;$C63,'◆（運営）③結果入力'!$D$16:$I$345,6,FALSE)="","",VLOOKUP(O$6&amp;$C63,'◆（運営）③結果入力'!$D$16:$I$345,6,FALSE))))</f>
        <v>W</v>
      </c>
      <c r="P63" s="340">
        <f t="shared" si="64"/>
        <v>5</v>
      </c>
      <c r="Q63" s="200">
        <f t="shared" si="65"/>
        <v>4</v>
      </c>
      <c r="R63" s="341">
        <f t="shared" si="66"/>
        <v>913</v>
      </c>
      <c r="S63" s="341">
        <f>IF(COUNTBLANK(F63:O63)=10,"",SUM(J59:J68)+(Q63*120))</f>
        <v>858</v>
      </c>
      <c r="T63" s="303">
        <f t="shared" si="67"/>
        <v>2</v>
      </c>
      <c r="U63" s="276">
        <f t="shared" si="68"/>
        <v>9</v>
      </c>
      <c r="V63" s="276">
        <f t="shared" si="69"/>
        <v>0</v>
      </c>
      <c r="W63" s="276">
        <f t="shared" si="70"/>
        <v>509129142</v>
      </c>
      <c r="X63" s="276">
        <f>IF(W63=0,"",IF(W63=MAX($W$11,$W$24,$W$37,$W$50,$W$63),1,""))</f>
      </c>
      <c r="Y63" s="276" t="str">
        <f t="shared" si="71"/>
        <v>和歌山</v>
      </c>
      <c r="Z63" s="276" t="str">
        <f t="shared" si="72"/>
        <v>和田 宗一郎</v>
      </c>
      <c r="AA63" s="342">
        <f>IF(ISERROR(VLOOKUP(F$6&amp;$C63,'◆（運営）③結果入力'!$D$16:$K$345,5,FALSE)),IF(VLOOKUP(F$6&amp;$C63,'◆（運営）③結果入力'!$E$16:$K$345,7,FALSE)="","",VLOOKUP(F$6&amp;$C63,'◆（運営）③結果入力'!$E$16:$K$345,7,FALSE)),IF(VLOOKUP(F$6&amp;$C63,'◆（運営）③結果入力'!$D$16:$K$345,5,FALSE)="","",VLOOKUP(F$6&amp;$C63,'◆（運営）③結果入力'!$D$16:$K$345,5,FALSE)))</f>
      </c>
      <c r="AB63" s="343">
        <f>IF(ISERROR(VLOOKUP(G$6&amp;$C63,'◆（運営）③結果入力'!$D$16:$K$345,5,FALSE)),IF(VLOOKUP(G$6&amp;$C63,'◆（運営）③結果入力'!$E$16:$K$345,7,FALSE)="","",VLOOKUP(G$6&amp;$C63,'◆（運営）③結果入力'!$E$16:$K$345,7,FALSE)),IF(VLOOKUP(G$6&amp;$C63,'◆（運営）③結果入力'!$D$16:$K$345,5,FALSE)="","",VLOOKUP(G$6&amp;$C63,'◆（運営）③結果入力'!$D$16:$K$345,5,FALSE)))</f>
      </c>
      <c r="AC63" s="343">
        <f>IF(ISERROR(VLOOKUP(H$6&amp;$C63,'◆（運営）③結果入力'!$D$16:$K$345,5,FALSE)),IF(VLOOKUP(H$6&amp;$C63,'◆（運営）③結果入力'!$E$16:$K$345,7,FALSE)="","",VLOOKUP(H$6&amp;$C63,'◆（運営）③結果入力'!$E$16:$K$345,7,FALSE)),IF(VLOOKUP(H$6&amp;$C63,'◆（運営）③結果入力'!$D$16:$K$345,5,FALSE)="","",VLOOKUP(H$6&amp;$C63,'◆（運営）③結果入力'!$D$16:$K$345,5,FALSE)))</f>
      </c>
      <c r="AD63" s="343">
        <f>IF(ISERROR(VLOOKUP(I$6&amp;$C63,'◆（運営）③結果入力'!$D$16:$K$345,5,FALSE)),IF(VLOOKUP(I$6&amp;$C63,'◆（運営）③結果入力'!$E$16:$K$345,7,FALSE)="","",VLOOKUP(I$6&amp;$C63,'◆（運営）③結果入力'!$E$16:$K$345,7,FALSE)),IF(VLOOKUP(I$6&amp;$C63,'◆（運営）③結果入力'!$D$16:$K$345,5,FALSE)="","",VLOOKUP(I$6&amp;$C63,'◆（運営）③結果入力'!$D$16:$K$345,5,FALSE)))</f>
      </c>
      <c r="AE63" s="386"/>
      <c r="AF63" s="343">
        <f>IF(ISERROR(VLOOKUP(K$6&amp;$C63,'◆（運営）③結果入力'!$D$16:$K$345,5,FALSE)),IF(VLOOKUP(K$6&amp;$C63,'◆（運営）③結果入力'!$E$16:$K$345,7,FALSE)="","",VLOOKUP(K$6&amp;$C63,'◆（運営）③結果入力'!$E$16:$K$345,7,FALSE)),IF(VLOOKUP(K$6&amp;$C63,'◆（運営）③結果入力'!$D$16:$K$345,5,FALSE)="","",VLOOKUP(K$6&amp;$C63,'◆（運営）③結果入力'!$D$16:$K$345,5,FALSE)))</f>
      </c>
      <c r="AG63" s="343">
        <f>IF(ISERROR(VLOOKUP(L$6&amp;$C63,'◆（運営）③結果入力'!$D$16:$K$345,5,FALSE)),IF(VLOOKUP(L$6&amp;$C63,'◆（運営）③結果入力'!$E$16:$K$345,7,FALSE)="","",VLOOKUP(L$6&amp;$C63,'◆（運営）③結果入力'!$E$16:$K$345,7,FALSE)),IF(VLOOKUP(L$6&amp;$C63,'◆（運営）③結果入力'!$D$16:$K$345,5,FALSE)="","",VLOOKUP(L$6&amp;$C63,'◆（運営）③結果入力'!$D$16:$K$345,5,FALSE)))</f>
      </c>
      <c r="AH63" s="343">
        <f>IF(ISERROR(VLOOKUP(M$6&amp;$C63,'◆（運営）③結果入力'!$D$16:$K$345,5,FALSE)),IF(VLOOKUP(M$6&amp;$C63,'◆（運営）③結果入力'!$E$16:$K$345,7,FALSE)="","",VLOOKUP(M$6&amp;$C63,'◆（運営）③結果入力'!$E$16:$K$345,7,FALSE)),IF(VLOOKUP(M$6&amp;$C63,'◆（運営）③結果入力'!$D$16:$K$345,5,FALSE)="","",VLOOKUP(M$6&amp;$C63,'◆（運営）③結果入力'!$D$16:$K$345,5,FALSE)))</f>
      </c>
      <c r="AI63" s="343">
        <f>IF(ISERROR(VLOOKUP(N$6&amp;$C63,'◆（運営）③結果入力'!$D$16:$K$345,5,FALSE)),IF(VLOOKUP(N$6&amp;$C63,'◆（運営）③結果入力'!$E$16:$K$345,7,FALSE)="","",VLOOKUP(N$6&amp;$C63,'◆（運営）③結果入力'!$E$16:$K$345,7,FALSE)),IF(VLOOKUP(N$6&amp;$C63,'◆（運営）③結果入力'!$D$16:$K$345,5,FALSE)="","",VLOOKUP(N$6&amp;$C63,'◆（運営）③結果入力'!$D$16:$K$345,5,FALSE)))</f>
      </c>
      <c r="AJ63" s="343">
        <f>IF(O58="","",IF(ISERROR(VLOOKUP(O$6&amp;$C63,'◆（運営）③結果入力'!$D$16:$K$345,5,FALSE)),IF(VLOOKUP(O$6&amp;$C63,'◆（運営）③結果入力'!$E$16:$K$345,7,FALSE)="","",VLOOKUP(O$6&amp;$C63,'◆（運営）③結果入力'!$E$16:$K$345,7,FALSE)),IF(VLOOKUP(O$6&amp;$C63,'◆（運営）③結果入力'!$D$16:$K$345,5,FALSE)="","",VLOOKUP(O$6&amp;$C63,'◆（運営）③結果入力'!$D$16:$K$345,5,FALSE))))</f>
      </c>
      <c r="AK63" s="343"/>
      <c r="AL63" s="344"/>
      <c r="AM63" s="345">
        <f t="shared" si="73"/>
      </c>
      <c r="AO63" s="335">
        <f t="shared" si="74"/>
        <v>0</v>
      </c>
      <c r="AP63" s="335">
        <f t="shared" si="75"/>
        <v>0</v>
      </c>
      <c r="AQ63" s="335">
        <f t="shared" si="76"/>
        <v>0</v>
      </c>
      <c r="AR63" s="335">
        <f t="shared" si="77"/>
        <v>0</v>
      </c>
      <c r="AS63" s="335">
        <f t="shared" si="78"/>
        <v>17</v>
      </c>
    </row>
    <row r="64" spans="1:45" ht="12" customHeight="1">
      <c r="A64" s="274">
        <v>6</v>
      </c>
      <c r="B64" s="315" t="str">
        <f t="shared" si="63"/>
        <v>滋賀</v>
      </c>
      <c r="C64" s="316" t="str">
        <f>IF(B64="","",VLOOKUP(B64,'ブロック表'!$C$4:$N$15,11,FALSE))</f>
        <v>大橋 正寛</v>
      </c>
      <c r="D64" s="317"/>
      <c r="E64" s="318"/>
      <c r="F64" s="319" t="str">
        <f>IF(ISERROR(VLOOKUP(F$6&amp;$C64,'◆（運営）③結果入力'!$D$16:$I$345,6,FALSE)),IF(VLOOKUP(F$6&amp;$C64,'◆（運営）③結果入力'!$E$16:$J$345,6,FALSE)="","",VLOOKUP(F$6&amp;$C64,'◆（運営）③結果入力'!$E$16:$J$345,6,FALSE)),IF(VLOOKUP(F$6&amp;$C64,'◆（運営）③結果入力'!$D$16:$I$345,6,FALSE)="","",VLOOKUP(F$6&amp;$C64,'◆（運営）③結果入力'!$D$16:$I$345,6,FALSE)))</f>
        <v>W</v>
      </c>
      <c r="G64" s="320" t="str">
        <f>IF(ISERROR(VLOOKUP(G$6&amp;$C64,'◆（運営）③結果入力'!$D$16:$I$345,6,FALSE)),IF(VLOOKUP(G$6&amp;$C64,'◆（運営）③結果入力'!$E$16:$J$345,6,FALSE)="","",VLOOKUP(G$6&amp;$C64,'◆（運営）③結果入力'!$E$16:$J$345,6,FALSE)),IF(VLOOKUP(G$6&amp;$C64,'◆（運営）③結果入力'!$D$16:$I$345,6,FALSE)="","",VLOOKUP(G$6&amp;$C64,'◆（運営）③結果入力'!$D$16:$I$345,6,FALSE)))</f>
        <v>W</v>
      </c>
      <c r="H64" s="320">
        <f>IF(ISERROR(VLOOKUP(H$6&amp;$C64,'◆（運営）③結果入力'!$D$16:$I$345,6,FALSE)),IF(VLOOKUP(H$6&amp;$C64,'◆（運営）③結果入力'!$E$16:$J$345,6,FALSE)="","",VLOOKUP(H$6&amp;$C64,'◆（運営）③結果入力'!$E$16:$J$345,6,FALSE)),IF(VLOOKUP(H$6&amp;$C64,'◆（運営）③結果入力'!$D$16:$I$345,6,FALSE)="","",VLOOKUP(H$6&amp;$C64,'◆（運営）③結果入力'!$D$16:$I$345,6,FALSE)))</f>
        <v>36</v>
      </c>
      <c r="I64" s="320">
        <f>IF(ISERROR(VLOOKUP(I$6&amp;$C64,'◆（運営）③結果入力'!$D$16:$I$345,6,FALSE)),IF(VLOOKUP(I$6&amp;$C64,'◆（運営）③結果入力'!$E$16:$J$345,6,FALSE)="","",VLOOKUP(I$6&amp;$C64,'◆（運営）③結果入力'!$E$16:$J$345,6,FALSE)),IF(VLOOKUP(I$6&amp;$C64,'◆（運営）③結果入力'!$D$16:$I$345,6,FALSE)="","",VLOOKUP(I$6&amp;$C64,'◆（運営）③結果入力'!$D$16:$I$345,6,FALSE)))</f>
        <v>0</v>
      </c>
      <c r="J64" s="320">
        <f>IF(ISERROR(VLOOKUP(J$6&amp;$C64,'◆（運営）③結果入力'!$D$16:$I$345,6,FALSE)),IF(VLOOKUP(J$6&amp;$C64,'◆（運営）③結果入力'!$E$16:$J$345,6,FALSE)="","",VLOOKUP(J$6&amp;$C64,'◆（運営）③結果入力'!$E$16:$J$345,6,FALSE)),IF(VLOOKUP(J$6&amp;$C64,'◆（運営）③結果入力'!$D$16:$I$345,6,FALSE)="","",VLOOKUP(J$6&amp;$C64,'◆（運営）③結果入力'!$D$16:$I$345,6,FALSE)))</f>
        <v>38</v>
      </c>
      <c r="K64" s="383"/>
      <c r="L64" s="320">
        <f>IF(ISERROR(VLOOKUP(L$6&amp;$C64,'◆（運営）③結果入力'!$D$16:$I$345,6,FALSE)),IF(VLOOKUP(L$6&amp;$C64,'◆（運営）③結果入力'!$E$16:$J$345,6,FALSE)="","",VLOOKUP(L$6&amp;$C64,'◆（運営）③結果入力'!$E$16:$J$345,6,FALSE)),IF(VLOOKUP(L$6&amp;$C64,'◆（運営）③結果入力'!$D$16:$I$345,6,FALSE)="","",VLOOKUP(L$6&amp;$C64,'◆（運営）③結果入力'!$D$16:$I$345,6,FALSE)))</f>
        <v>73</v>
      </c>
      <c r="M64" s="320" t="str">
        <f>IF(ISERROR(VLOOKUP(M$6&amp;$C64,'◆（運営）③結果入力'!$D$16:$I$345,6,FALSE)),IF(VLOOKUP(M$6&amp;$C64,'◆（運営）③結果入力'!$E$16:$J$345,6,FALSE)="","",VLOOKUP(M$6&amp;$C64,'◆（運営）③結果入力'!$E$16:$J$345,6,FALSE)),IF(VLOOKUP(M$6&amp;$C64,'◆（運営）③結果入力'!$D$16:$I$345,6,FALSE)="","",VLOOKUP(M$6&amp;$C64,'◆（運営）③結果入力'!$D$16:$I$345,6,FALSE)))</f>
        <v>W</v>
      </c>
      <c r="N64" s="320" t="str">
        <f>IF(ISERROR(VLOOKUP(N$6&amp;$C64,'◆（運営）③結果入力'!$D$16:$I$345,6,FALSE)),IF(VLOOKUP(N$6&amp;$C64,'◆（運営）③結果入力'!$E$16:$J$345,6,FALSE)="","",VLOOKUP(N$6&amp;$C64,'◆（運営）③結果入力'!$E$16:$J$345,6,FALSE)),IF(VLOOKUP(N$6&amp;$C64,'◆（運営）③結果入力'!$D$16:$I$345,6,FALSE)="","",VLOOKUP(N$6&amp;$C64,'◆（運営）③結果入力'!$D$16:$I$345,6,FALSE)))</f>
        <v>W</v>
      </c>
      <c r="O64" s="320" t="str">
        <f>IF(O58="","",IF(ISERROR(VLOOKUP(O$6&amp;$C64,'◆（運営）③結果入力'!$D$16:$I$345,6,FALSE)),IF(VLOOKUP(O$6&amp;$C64,'◆（運営）③結果入力'!$E$16:$J$345,6,FALSE)="","",VLOOKUP(O$6&amp;$C64,'◆（運営）③結果入力'!$E$16:$J$345,6,FALSE)),IF(VLOOKUP(O$6&amp;$C64,'◆（運営）③結果入力'!$D$16:$I$345,6,FALSE)="","",VLOOKUP(O$6&amp;$C64,'◆（運営）③結果入力'!$D$16:$I$345,6,FALSE))))</f>
        <v>W</v>
      </c>
      <c r="P64" s="340">
        <f t="shared" si="64"/>
        <v>5</v>
      </c>
      <c r="Q64" s="200">
        <f t="shared" si="65"/>
        <v>4</v>
      </c>
      <c r="R64" s="341">
        <f t="shared" si="66"/>
        <v>747</v>
      </c>
      <c r="S64" s="341">
        <f>IF(COUNTBLANK(F64:O64)=10,"",SUM(K59:K68)+(Q64*120))</f>
        <v>725</v>
      </c>
      <c r="T64" s="303">
        <f t="shared" si="67"/>
        <v>6</v>
      </c>
      <c r="U64" s="276">
        <f t="shared" si="68"/>
        <v>9</v>
      </c>
      <c r="V64" s="276">
        <f t="shared" si="69"/>
        <v>0</v>
      </c>
      <c r="W64" s="276">
        <f t="shared" si="70"/>
        <v>507469275</v>
      </c>
      <c r="X64" s="276">
        <f>IF(W64=0,"",IF(W64=MAX($W$12,$W$25,$W$38,$W$51,$W$64),1,""))</f>
      </c>
      <c r="Y64" s="276" t="str">
        <f t="shared" si="71"/>
        <v>滋賀</v>
      </c>
      <c r="Z64" s="276" t="str">
        <f t="shared" si="72"/>
        <v>大橋 正寛</v>
      </c>
      <c r="AA64" s="342">
        <f>IF(ISERROR(VLOOKUP(F$6&amp;$C64,'◆（運営）③結果入力'!$D$16:$K$345,5,FALSE)),IF(VLOOKUP(F$6&amp;$C64,'◆（運営）③結果入力'!$E$16:$K$345,7,FALSE)="","",VLOOKUP(F$6&amp;$C64,'◆（運営）③結果入力'!$E$16:$K$345,7,FALSE)),IF(VLOOKUP(F$6&amp;$C64,'◆（運営）③結果入力'!$D$16:$K$345,5,FALSE)="","",VLOOKUP(F$6&amp;$C64,'◆（運営）③結果入力'!$D$16:$K$345,5,FALSE)))</f>
      </c>
      <c r="AB64" s="343">
        <f>IF(ISERROR(VLOOKUP(G$6&amp;$C64,'◆（運営）③結果入力'!$D$16:$K$345,5,FALSE)),IF(VLOOKUP(G$6&amp;$C64,'◆（運営）③結果入力'!$E$16:$K$345,7,FALSE)="","",VLOOKUP(G$6&amp;$C64,'◆（運営）③結果入力'!$E$16:$K$345,7,FALSE)),IF(VLOOKUP(G$6&amp;$C64,'◆（運営）③結果入力'!$D$16:$K$345,5,FALSE)="","",VLOOKUP(G$6&amp;$C64,'◆（運営）③結果入力'!$D$16:$K$345,5,FALSE)))</f>
      </c>
      <c r="AC64" s="343">
        <f>IF(ISERROR(VLOOKUP(H$6&amp;$C64,'◆（運営）③結果入力'!$D$16:$K$345,5,FALSE)),IF(VLOOKUP(H$6&amp;$C64,'◆（運営）③結果入力'!$E$16:$K$345,7,FALSE)="","",VLOOKUP(H$6&amp;$C64,'◆（運営）③結果入力'!$E$16:$K$345,7,FALSE)),IF(VLOOKUP(H$6&amp;$C64,'◆（運営）③結果入力'!$D$16:$K$345,5,FALSE)="","",VLOOKUP(H$6&amp;$C64,'◆（運営）③結果入力'!$D$16:$K$345,5,FALSE)))</f>
      </c>
      <c r="AD64" s="343">
        <f>IF(ISERROR(VLOOKUP(I$6&amp;$C64,'◆（運営）③結果入力'!$D$16:$K$345,5,FALSE)),IF(VLOOKUP(I$6&amp;$C64,'◆（運営）③結果入力'!$E$16:$K$345,7,FALSE)="","",VLOOKUP(I$6&amp;$C64,'◆（運営）③結果入力'!$E$16:$K$345,7,FALSE)),IF(VLOOKUP(I$6&amp;$C64,'◆（運営）③結果入力'!$D$16:$K$345,5,FALSE)="","",VLOOKUP(I$6&amp;$C64,'◆（運営）③結果入力'!$D$16:$K$345,5,FALSE)))</f>
      </c>
      <c r="AE64" s="343">
        <f>IF(ISERROR(VLOOKUP(J$6&amp;$C64,'◆（運営）③結果入力'!$D$16:$K$345,5,FALSE)),IF(VLOOKUP(J$6&amp;$C64,'◆（運営）③結果入力'!$E$16:$K$345,7,FALSE)="","",VLOOKUP(J$6&amp;$C64,'◆（運営）③結果入力'!$E$16:$K$345,7,FALSE)),IF(VLOOKUP(J$6&amp;$C64,'◆（運営）③結果入力'!$D$16:$K$345,5,FALSE)="","",VLOOKUP(J$6&amp;$C64,'◆（運営）③結果入力'!$D$16:$K$345,5,FALSE)))</f>
      </c>
      <c r="AF64" s="386"/>
      <c r="AG64" s="343">
        <f>IF(ISERROR(VLOOKUP(L$6&amp;$C64,'◆（運営）③結果入力'!$D$16:$K$345,5,FALSE)),IF(VLOOKUP(L$6&amp;$C64,'◆（運営）③結果入力'!$E$16:$K$345,7,FALSE)="","",VLOOKUP(L$6&amp;$C64,'◆（運営）③結果入力'!$E$16:$K$345,7,FALSE)),IF(VLOOKUP(L$6&amp;$C64,'◆（運営）③結果入力'!$D$16:$K$345,5,FALSE)="","",VLOOKUP(L$6&amp;$C64,'◆（運営）③結果入力'!$D$16:$K$345,5,FALSE)))</f>
      </c>
      <c r="AH64" s="343">
        <f>IF(ISERROR(VLOOKUP(M$6&amp;$C64,'◆（運営）③結果入力'!$D$16:$K$345,5,FALSE)),IF(VLOOKUP(M$6&amp;$C64,'◆（運営）③結果入力'!$E$16:$K$345,7,FALSE)="","",VLOOKUP(M$6&amp;$C64,'◆（運営）③結果入力'!$E$16:$K$345,7,FALSE)),IF(VLOOKUP(M$6&amp;$C64,'◆（運営）③結果入力'!$D$16:$K$345,5,FALSE)="","",VLOOKUP(M$6&amp;$C64,'◆（運営）③結果入力'!$D$16:$K$345,5,FALSE)))</f>
      </c>
      <c r="AI64" s="343">
        <f>IF(ISERROR(VLOOKUP(N$6&amp;$C64,'◆（運営）③結果入力'!$D$16:$K$345,5,FALSE)),IF(VLOOKUP(N$6&amp;$C64,'◆（運営）③結果入力'!$E$16:$K$345,7,FALSE)="","",VLOOKUP(N$6&amp;$C64,'◆（運営）③結果入力'!$E$16:$K$345,7,FALSE)),IF(VLOOKUP(N$6&amp;$C64,'◆（運営）③結果入力'!$D$16:$K$345,5,FALSE)="","",VLOOKUP(N$6&amp;$C64,'◆（運営）③結果入力'!$D$16:$K$345,5,FALSE)))</f>
      </c>
      <c r="AJ64" s="343">
        <f>IF(O58="","",IF(ISERROR(VLOOKUP(O$6&amp;$C64,'◆（運営）③結果入力'!$D$16:$K$345,5,FALSE)),IF(VLOOKUP(O$6&amp;$C64,'◆（運営）③結果入力'!$E$16:$K$345,7,FALSE)="","",VLOOKUP(O$6&amp;$C64,'◆（運営）③結果入力'!$E$16:$K$345,7,FALSE)),IF(VLOOKUP(O$6&amp;$C64,'◆（運営）③結果入力'!$D$16:$K$345,5,FALSE)="","",VLOOKUP(O$6&amp;$C64,'◆（運営）③結果入力'!$D$16:$K$345,5,FALSE))))</f>
      </c>
      <c r="AK64" s="343"/>
      <c r="AL64" s="344"/>
      <c r="AM64" s="345">
        <f t="shared" si="73"/>
      </c>
      <c r="AO64" s="335">
        <f t="shared" si="74"/>
        <v>0</v>
      </c>
      <c r="AP64" s="335">
        <f t="shared" si="75"/>
        <v>0</v>
      </c>
      <c r="AQ64" s="335">
        <f t="shared" si="76"/>
        <v>0</v>
      </c>
      <c r="AR64" s="335">
        <f t="shared" si="77"/>
        <v>0</v>
      </c>
      <c r="AS64" s="335">
        <f t="shared" si="78"/>
        <v>17</v>
      </c>
    </row>
    <row r="65" spans="1:45" ht="12" customHeight="1">
      <c r="A65" s="274">
        <v>7</v>
      </c>
      <c r="B65" s="315" t="str">
        <f t="shared" si="63"/>
        <v>奈良</v>
      </c>
      <c r="C65" s="316" t="str">
        <f>IF(B65="","",VLOOKUP(B65,'ブロック表'!$C$4:$N$15,11,FALSE))</f>
        <v>山田 晃司</v>
      </c>
      <c r="D65" s="317"/>
      <c r="E65" s="318"/>
      <c r="F65" s="319">
        <f>IF(ISERROR(VLOOKUP(F$6&amp;$C65,'◆（運営）③結果入力'!$D$16:$I$345,6,FALSE)),IF(VLOOKUP(F$6&amp;$C65,'◆（運営）③結果入力'!$E$16:$J$345,6,FALSE)="","",VLOOKUP(F$6&amp;$C65,'◆（運営）③結果入力'!$E$16:$J$345,6,FALSE)),IF(VLOOKUP(F$6&amp;$C65,'◆（運営）③結果入力'!$D$16:$I$345,6,FALSE)="","",VLOOKUP(F$6&amp;$C65,'◆（運営）③結果入力'!$D$16:$I$345,6,FALSE)))</f>
        <v>17</v>
      </c>
      <c r="G65" s="320" t="str">
        <f>IF(ISERROR(VLOOKUP(G$6&amp;$C65,'◆（運営）③結果入力'!$D$16:$I$345,6,FALSE)),IF(VLOOKUP(G$6&amp;$C65,'◆（運営）③結果入力'!$E$16:$J$345,6,FALSE)="","",VLOOKUP(G$6&amp;$C65,'◆（運営）③結果入力'!$E$16:$J$345,6,FALSE)),IF(VLOOKUP(G$6&amp;$C65,'◆（運営）③結果入力'!$D$16:$I$345,6,FALSE)="","",VLOOKUP(G$6&amp;$C65,'◆（運営）③結果入力'!$D$16:$I$345,6,FALSE)))</f>
        <v>W</v>
      </c>
      <c r="H65" s="320" t="str">
        <f>IF(ISERROR(VLOOKUP(H$6&amp;$C65,'◆（運営）③結果入力'!$D$16:$I$345,6,FALSE)),IF(VLOOKUP(H$6&amp;$C65,'◆（運営）③結果入力'!$E$16:$J$345,6,FALSE)="","",VLOOKUP(H$6&amp;$C65,'◆（運営）③結果入力'!$E$16:$J$345,6,FALSE)),IF(VLOOKUP(H$6&amp;$C65,'◆（運営）③結果入力'!$D$16:$I$345,6,FALSE)="","",VLOOKUP(H$6&amp;$C65,'◆（運営）③結果入力'!$D$16:$I$345,6,FALSE)))</f>
        <v>W</v>
      </c>
      <c r="I65" s="320">
        <f>IF(ISERROR(VLOOKUP(I$6&amp;$C65,'◆（運営）③結果入力'!$D$16:$I$345,6,FALSE)),IF(VLOOKUP(I$6&amp;$C65,'◆（運営）③結果入力'!$E$16:$J$345,6,FALSE)="","",VLOOKUP(I$6&amp;$C65,'◆（運営）③結果入力'!$E$16:$J$345,6,FALSE)),IF(VLOOKUP(I$6&amp;$C65,'◆（運営）③結果入力'!$D$16:$I$345,6,FALSE)="","",VLOOKUP(I$6&amp;$C65,'◆（運営）③結果入力'!$D$16:$I$345,6,FALSE)))</f>
        <v>116</v>
      </c>
      <c r="J65" s="320" t="str">
        <f>IF(ISERROR(VLOOKUP(J$6&amp;$C65,'◆（運営）③結果入力'!$D$16:$I$345,6,FALSE)),IF(VLOOKUP(J$6&amp;$C65,'◆（運営）③結果入力'!$E$16:$J$345,6,FALSE)="","",VLOOKUP(J$6&amp;$C65,'◆（運営）③結果入力'!$E$16:$J$345,6,FALSE)),IF(VLOOKUP(J$6&amp;$C65,'◆（運営）③結果入力'!$D$16:$I$345,6,FALSE)="","",VLOOKUP(J$6&amp;$C65,'◆（運営）③結果入力'!$D$16:$I$345,6,FALSE)))</f>
        <v>W</v>
      </c>
      <c r="K65" s="320" t="str">
        <f>IF(ISERROR(VLOOKUP(K$6&amp;$C65,'◆（運営）③結果入力'!$D$16:$I$345,6,FALSE)),IF(VLOOKUP(K$6&amp;$C65,'◆（運営）③結果入力'!$E$16:$J$345,6,FALSE)="","",VLOOKUP(K$6&amp;$C65,'◆（運営）③結果入力'!$E$16:$J$345,6,FALSE)),IF(VLOOKUP(K$6&amp;$C65,'◆（運営）③結果入力'!$D$16:$I$345,6,FALSE)="","",VLOOKUP(K$6&amp;$C65,'◆（運営）③結果入力'!$D$16:$I$345,6,FALSE)))</f>
        <v>W</v>
      </c>
      <c r="L65" s="383"/>
      <c r="M65" s="320">
        <f>IF(ISERROR(VLOOKUP(M$6&amp;$C65,'◆（運営）③結果入力'!$D$16:$I$345,6,FALSE)),IF(VLOOKUP(M$6&amp;$C65,'◆（運営）③結果入力'!$E$16:$J$345,6,FALSE)="","",VLOOKUP(M$6&amp;$C65,'◆（運営）③結果入力'!$E$16:$J$345,6,FALSE)),IF(VLOOKUP(M$6&amp;$C65,'◆（運営）③結果入力'!$D$16:$I$345,6,FALSE)="","",VLOOKUP(M$6&amp;$C65,'◆（運営）③結果入力'!$D$16:$I$345,6,FALSE)))</f>
        <v>84</v>
      </c>
      <c r="N65" s="320" t="str">
        <f>IF(ISERROR(VLOOKUP(N$6&amp;$C65,'◆（運営）③結果入力'!$D$16:$I$345,6,FALSE)),IF(VLOOKUP(N$6&amp;$C65,'◆（運営）③結果入力'!$E$16:$J$345,6,FALSE)="","",VLOOKUP(N$6&amp;$C65,'◆（運営）③結果入力'!$E$16:$J$345,6,FALSE)),IF(VLOOKUP(N$6&amp;$C65,'◆（運営）③結果入力'!$D$16:$I$345,6,FALSE)="","",VLOOKUP(N$6&amp;$C65,'◆（運営）③結果入力'!$D$16:$I$345,6,FALSE)))</f>
        <v>W</v>
      </c>
      <c r="O65" s="320">
        <f>IF(O58="","",IF(ISERROR(VLOOKUP(O$6&amp;$C65,'◆（運営）③結果入力'!$D$16:$I$345,6,FALSE)),IF(VLOOKUP(O$6&amp;$C65,'◆（運営）③結果入力'!$E$16:$J$345,6,FALSE)="","",VLOOKUP(O$6&amp;$C65,'◆（運営）③結果入力'!$E$16:$J$345,6,FALSE)),IF(VLOOKUP(O$6&amp;$C65,'◆（運営）③結果入力'!$D$16:$I$345,6,FALSE)="","",VLOOKUP(O$6&amp;$C65,'◆（運営）③結果入力'!$D$16:$I$345,6,FALSE))))</f>
        <v>68</v>
      </c>
      <c r="P65" s="340">
        <f t="shared" si="64"/>
        <v>5</v>
      </c>
      <c r="Q65" s="200">
        <f t="shared" si="65"/>
        <v>4</v>
      </c>
      <c r="R65" s="341">
        <f t="shared" si="66"/>
        <v>885</v>
      </c>
      <c r="S65" s="341">
        <f>IF(COUNTBLANK(F65:O65)=10,"",SUM(L59:L68)+(Q65*120))</f>
        <v>812</v>
      </c>
      <c r="T65" s="303">
        <f t="shared" si="67"/>
        <v>4</v>
      </c>
      <c r="U65" s="276">
        <f t="shared" si="68"/>
        <v>9</v>
      </c>
      <c r="V65" s="276">
        <f t="shared" si="69"/>
        <v>0</v>
      </c>
      <c r="W65" s="276">
        <f t="shared" si="70"/>
        <v>508849188</v>
      </c>
      <c r="X65" s="276">
        <f>IF(W65=0,"",IF(W65=MAX($W$13,$W$26,$W$39,$W$52,$W$65),1,""))</f>
        <v>1</v>
      </c>
      <c r="Y65" s="276" t="str">
        <f t="shared" si="71"/>
        <v>1奈良</v>
      </c>
      <c r="Z65" s="276" t="str">
        <f t="shared" si="72"/>
        <v>山田 晃司</v>
      </c>
      <c r="AA65" s="342">
        <f>IF(ISERROR(VLOOKUP(F$6&amp;$C65,'◆（運営）③結果入力'!$D$16:$K$345,5,FALSE)),IF(VLOOKUP(F$6&amp;$C65,'◆（運営）③結果入力'!$E$16:$K$345,7,FALSE)="","",VLOOKUP(F$6&amp;$C65,'◆（運営）③結果入力'!$E$16:$K$345,7,FALSE)),IF(VLOOKUP(F$6&amp;$C65,'◆（運営）③結果入力'!$D$16:$K$345,5,FALSE)="","",VLOOKUP(F$6&amp;$C65,'◆（運営）③結果入力'!$D$16:$K$345,5,FALSE)))</f>
      </c>
      <c r="AB65" s="343">
        <f>IF(ISERROR(VLOOKUP(G$6&amp;$C65,'◆（運営）③結果入力'!$D$16:$K$345,5,FALSE)),IF(VLOOKUP(G$6&amp;$C65,'◆（運営）③結果入力'!$E$16:$K$345,7,FALSE)="","",VLOOKUP(G$6&amp;$C65,'◆（運営）③結果入力'!$E$16:$K$345,7,FALSE)),IF(VLOOKUP(G$6&amp;$C65,'◆（運営）③結果入力'!$D$16:$K$345,5,FALSE)="","",VLOOKUP(G$6&amp;$C65,'◆（運営）③結果入力'!$D$16:$K$345,5,FALSE)))</f>
      </c>
      <c r="AC65" s="343">
        <f>IF(ISERROR(VLOOKUP(H$6&amp;$C65,'◆（運営）③結果入力'!$D$16:$K$345,5,FALSE)),IF(VLOOKUP(H$6&amp;$C65,'◆（運営）③結果入力'!$E$16:$K$345,7,FALSE)="","",VLOOKUP(H$6&amp;$C65,'◆（運営）③結果入力'!$E$16:$K$345,7,FALSE)),IF(VLOOKUP(H$6&amp;$C65,'◆（運営）③結果入力'!$D$16:$K$345,5,FALSE)="","",VLOOKUP(H$6&amp;$C65,'◆（運営）③結果入力'!$D$16:$K$345,5,FALSE)))</f>
      </c>
      <c r="AD65" s="343">
        <f>IF(ISERROR(VLOOKUP(I$6&amp;$C65,'◆（運営）③結果入力'!$D$16:$K$345,5,FALSE)),IF(VLOOKUP(I$6&amp;$C65,'◆（運営）③結果入力'!$E$16:$K$345,7,FALSE)="","",VLOOKUP(I$6&amp;$C65,'◆（運営）③結果入力'!$E$16:$K$345,7,FALSE)),IF(VLOOKUP(I$6&amp;$C65,'◆（運営）③結果入力'!$D$16:$K$345,5,FALSE)="","",VLOOKUP(I$6&amp;$C65,'◆（運営）③結果入力'!$D$16:$K$345,5,FALSE)))</f>
      </c>
      <c r="AE65" s="343">
        <f>IF(ISERROR(VLOOKUP(J$6&amp;$C65,'◆（運営）③結果入力'!$D$16:$K$345,5,FALSE)),IF(VLOOKUP(J$6&amp;$C65,'◆（運営）③結果入力'!$E$16:$K$345,7,FALSE)="","",VLOOKUP(J$6&amp;$C65,'◆（運営）③結果入力'!$E$16:$K$345,7,FALSE)),IF(VLOOKUP(J$6&amp;$C65,'◆（運営）③結果入力'!$D$16:$K$345,5,FALSE)="","",VLOOKUP(J$6&amp;$C65,'◆（運営）③結果入力'!$D$16:$K$345,5,FALSE)))</f>
      </c>
      <c r="AF65" s="343">
        <f>IF(ISERROR(VLOOKUP(K$6&amp;$C65,'◆（運営）③結果入力'!$D$16:$K$345,5,FALSE)),IF(VLOOKUP(K$6&amp;$C65,'◆（運営）③結果入力'!$E$16:$K$345,7,FALSE)="","",VLOOKUP(K$6&amp;$C65,'◆（運営）③結果入力'!$E$16:$K$345,7,FALSE)),IF(VLOOKUP(K$6&amp;$C65,'◆（運営）③結果入力'!$D$16:$K$345,5,FALSE)="","",VLOOKUP(K$6&amp;$C65,'◆（運営）③結果入力'!$D$16:$K$345,5,FALSE)))</f>
      </c>
      <c r="AG65" s="386"/>
      <c r="AH65" s="343">
        <f>IF(ISERROR(VLOOKUP(M$6&amp;$C65,'◆（運営）③結果入力'!$D$16:$K$345,5,FALSE)),IF(VLOOKUP(M$6&amp;$C65,'◆（運営）③結果入力'!$E$16:$K$345,7,FALSE)="","",VLOOKUP(M$6&amp;$C65,'◆（運営）③結果入力'!$E$16:$K$345,7,FALSE)),IF(VLOOKUP(M$6&amp;$C65,'◆（運営）③結果入力'!$D$16:$K$345,5,FALSE)="","",VLOOKUP(M$6&amp;$C65,'◆（運営）③結果入力'!$D$16:$K$345,5,FALSE)))</f>
      </c>
      <c r="AI65" s="343">
        <f>IF(ISERROR(VLOOKUP(N$6&amp;$C65,'◆（運営）③結果入力'!$D$16:$K$345,5,FALSE)),IF(VLOOKUP(N$6&amp;$C65,'◆（運営）③結果入力'!$E$16:$K$345,7,FALSE)="","",VLOOKUP(N$6&amp;$C65,'◆（運営）③結果入力'!$E$16:$K$345,7,FALSE)),IF(VLOOKUP(N$6&amp;$C65,'◆（運営）③結果入力'!$D$16:$K$345,5,FALSE)="","",VLOOKUP(N$6&amp;$C65,'◆（運営）③結果入力'!$D$16:$K$345,5,FALSE)))</f>
      </c>
      <c r="AJ65" s="343">
        <f>IF(O58="","",IF(ISERROR(VLOOKUP(O$6&amp;$C65,'◆（運営）③結果入力'!$D$16:$K$345,5,FALSE)),IF(VLOOKUP(O$6&amp;$C65,'◆（運営）③結果入力'!$E$16:$K$345,7,FALSE)="","",VLOOKUP(O$6&amp;$C65,'◆（運営）③結果入力'!$E$16:$K$345,7,FALSE)),IF(VLOOKUP(O$6&amp;$C65,'◆（運営）③結果入力'!$D$16:$K$345,5,FALSE)="","",VLOOKUP(O$6&amp;$C65,'◆（運営）③結果入力'!$D$16:$K$345,5,FALSE))))</f>
      </c>
      <c r="AK65" s="343"/>
      <c r="AL65" s="344"/>
      <c r="AM65" s="345">
        <f t="shared" si="73"/>
      </c>
      <c r="AO65" s="335">
        <f t="shared" si="74"/>
        <v>0</v>
      </c>
      <c r="AP65" s="335">
        <f t="shared" si="75"/>
        <v>0</v>
      </c>
      <c r="AQ65" s="335">
        <f t="shared" si="76"/>
        <v>0</v>
      </c>
      <c r="AR65" s="335">
        <f t="shared" si="77"/>
        <v>0</v>
      </c>
      <c r="AS65" s="335">
        <f t="shared" si="78"/>
        <v>17</v>
      </c>
    </row>
    <row r="66" spans="1:45" ht="12" customHeight="1">
      <c r="A66" s="274">
        <v>8</v>
      </c>
      <c r="B66" s="315" t="str">
        <f t="shared" si="63"/>
        <v>三重</v>
      </c>
      <c r="C66" s="316" t="str">
        <f>IF(B66="","",VLOOKUP(B66,'ブロック表'!$C$4:$N$15,11,FALSE))</f>
        <v>森本 英幸</v>
      </c>
      <c r="D66" s="317"/>
      <c r="E66" s="318"/>
      <c r="F66" s="319">
        <f>IF(ISERROR(VLOOKUP(F$6&amp;$C66,'◆（運営）③結果入力'!$D$16:$I$345,6,FALSE)),IF(VLOOKUP(F$6&amp;$C66,'◆（運営）③結果入力'!$E$16:$J$345,6,FALSE)="","",VLOOKUP(F$6&amp;$C66,'◆（運営）③結果入力'!$E$16:$J$345,6,FALSE)),IF(VLOOKUP(F$6&amp;$C66,'◆（運営）③結果入力'!$D$16:$I$345,6,FALSE)="","",VLOOKUP(F$6&amp;$C66,'◆（運営）③結果入力'!$D$16:$I$345,6,FALSE)))</f>
        <v>76</v>
      </c>
      <c r="G66" s="320" t="str">
        <f>IF(ISERROR(VLOOKUP(G$6&amp;$C66,'◆（運営）③結果入力'!$D$16:$I$345,6,FALSE)),IF(VLOOKUP(G$6&amp;$C66,'◆（運営）③結果入力'!$E$16:$J$345,6,FALSE)="","",VLOOKUP(G$6&amp;$C66,'◆（運営）③結果入力'!$E$16:$J$345,6,FALSE)),IF(VLOOKUP(G$6&amp;$C66,'◆（運営）③結果入力'!$D$16:$I$345,6,FALSE)="","",VLOOKUP(G$6&amp;$C66,'◆（運営）③結果入力'!$D$16:$I$345,6,FALSE)))</f>
        <v>W</v>
      </c>
      <c r="H66" s="320" t="str">
        <f>IF(ISERROR(VLOOKUP(H$6&amp;$C66,'◆（運営）③結果入力'!$D$16:$I$345,6,FALSE)),IF(VLOOKUP(H$6&amp;$C66,'◆（運営）③結果入力'!$E$16:$J$345,6,FALSE)="","",VLOOKUP(H$6&amp;$C66,'◆（運営）③結果入力'!$E$16:$J$345,6,FALSE)),IF(VLOOKUP(H$6&amp;$C66,'◆（運営）③結果入力'!$D$16:$I$345,6,FALSE)="","",VLOOKUP(H$6&amp;$C66,'◆（運営）③結果入力'!$D$16:$I$345,6,FALSE)))</f>
        <v>W</v>
      </c>
      <c r="I66" s="320">
        <f>IF(ISERROR(VLOOKUP(I$6&amp;$C66,'◆（運営）③結果入力'!$D$16:$I$345,6,FALSE)),IF(VLOOKUP(I$6&amp;$C66,'◆（運営）③結果入力'!$E$16:$J$345,6,FALSE)="","",VLOOKUP(I$6&amp;$C66,'◆（運営）③結果入力'!$E$16:$J$345,6,FALSE)),IF(VLOOKUP(I$6&amp;$C66,'◆（運営）③結果入力'!$D$16:$I$345,6,FALSE)="","",VLOOKUP(I$6&amp;$C66,'◆（運営）③結果入力'!$D$16:$I$345,6,FALSE)))</f>
        <v>57</v>
      </c>
      <c r="J66" s="320">
        <f>IF(ISERROR(VLOOKUP(J$6&amp;$C66,'◆（運営）③結果入力'!$D$16:$I$345,6,FALSE)),IF(VLOOKUP(J$6&amp;$C66,'◆（運営）③結果入力'!$E$16:$J$345,6,FALSE)="","",VLOOKUP(J$6&amp;$C66,'◆（運営）③結果入力'!$E$16:$J$345,6,FALSE)),IF(VLOOKUP(J$6&amp;$C66,'◆（運営）③結果入力'!$D$16:$I$345,6,FALSE)="","",VLOOKUP(J$6&amp;$C66,'◆（運営）③結果入力'!$D$16:$I$345,6,FALSE)))</f>
        <v>111</v>
      </c>
      <c r="K66" s="320">
        <f>IF(ISERROR(VLOOKUP(K$6&amp;$C66,'◆（運営）③結果入力'!$D$16:$I$345,6,FALSE)),IF(VLOOKUP(K$6&amp;$C66,'◆（運営）③結果入力'!$E$16:$J$345,6,FALSE)="","",VLOOKUP(K$6&amp;$C66,'◆（運営）③結果入力'!$E$16:$J$345,6,FALSE)),IF(VLOOKUP(K$6&amp;$C66,'◆（運営）③結果入力'!$D$16:$I$345,6,FALSE)="","",VLOOKUP(K$6&amp;$C66,'◆（運営）③結果入力'!$D$16:$I$345,6,FALSE)))</f>
        <v>44</v>
      </c>
      <c r="L66" s="320" t="str">
        <f>IF(ISERROR(VLOOKUP(L$6&amp;$C66,'◆（運営）③結果入力'!$D$16:$I$345,6,FALSE)),IF(VLOOKUP(L$6&amp;$C66,'◆（運営）③結果入力'!$E$16:$J$345,6,FALSE)="","",VLOOKUP(L$6&amp;$C66,'◆（運営）③結果入力'!$E$16:$J$345,6,FALSE)),IF(VLOOKUP(L$6&amp;$C66,'◆（運営）③結果入力'!$D$16:$I$345,6,FALSE)="","",VLOOKUP(L$6&amp;$C66,'◆（運営）③結果入力'!$D$16:$I$345,6,FALSE)))</f>
        <v>W</v>
      </c>
      <c r="M66" s="383"/>
      <c r="N66" s="320" t="str">
        <f>IF(ISERROR(VLOOKUP(N$6&amp;$C66,'◆（運営）③結果入力'!$D$16:$I$345,6,FALSE)),IF(VLOOKUP(N$6&amp;$C66,'◆（運営）③結果入力'!$E$16:$J$345,6,FALSE)="","",VLOOKUP(N$6&amp;$C66,'◆（運営）③結果入力'!$E$16:$J$345,6,FALSE)),IF(VLOOKUP(N$6&amp;$C66,'◆（運営）③結果入力'!$D$16:$I$345,6,FALSE)="","",VLOOKUP(N$6&amp;$C66,'◆（運営）③結果入力'!$D$16:$I$345,6,FALSE)))</f>
        <v>W</v>
      </c>
      <c r="O66" s="320" t="str">
        <f>IF(O58="","",IF(ISERROR(VLOOKUP(O$6&amp;$C66,'◆（運営）③結果入力'!$D$16:$I$345,6,FALSE)),IF(VLOOKUP(O$6&amp;$C66,'◆（運営）③結果入力'!$E$16:$J$345,6,FALSE)="","",VLOOKUP(O$6&amp;$C66,'◆（運営）③結果入力'!$E$16:$J$345,6,FALSE)),IF(VLOOKUP(O$6&amp;$C66,'◆（運営）③結果入力'!$D$16:$I$345,6,FALSE)="","",VLOOKUP(O$6&amp;$C66,'◆（運営）③結果入力'!$D$16:$I$345,6,FALSE))))</f>
        <v>W</v>
      </c>
      <c r="P66" s="340">
        <f t="shared" si="64"/>
        <v>5</v>
      </c>
      <c r="Q66" s="200">
        <f t="shared" si="65"/>
        <v>4</v>
      </c>
      <c r="R66" s="341">
        <f t="shared" si="66"/>
        <v>888</v>
      </c>
      <c r="S66" s="341">
        <f>IF(COUNTBLANK(F66:O66)=10,"",SUM(M59:M68)+(Q66*120))</f>
        <v>689</v>
      </c>
      <c r="T66" s="303">
        <f t="shared" si="67"/>
        <v>3</v>
      </c>
      <c r="U66" s="276">
        <f t="shared" si="68"/>
        <v>9</v>
      </c>
      <c r="V66" s="276">
        <f t="shared" si="69"/>
        <v>0</v>
      </c>
      <c r="W66" s="276">
        <f t="shared" si="70"/>
        <v>508879311</v>
      </c>
      <c r="X66" s="276">
        <f>IF(W66=0,"",IF(W66=MAX($W$14,$W$27,$W$40,$W$53,$W$66),1,""))</f>
      </c>
      <c r="Y66" s="276" t="str">
        <f t="shared" si="71"/>
        <v>三重</v>
      </c>
      <c r="Z66" s="276" t="str">
        <f t="shared" si="72"/>
        <v>森本 英幸</v>
      </c>
      <c r="AA66" s="342">
        <f>IF(ISERROR(VLOOKUP(F$6&amp;$C66,'◆（運営）③結果入力'!$D$16:$K$345,5,FALSE)),IF(VLOOKUP(F$6&amp;$C66,'◆（運営）③結果入力'!$E$16:$K$345,7,FALSE)="","",VLOOKUP(F$6&amp;$C66,'◆（運営）③結果入力'!$E$16:$K$345,7,FALSE)),IF(VLOOKUP(F$6&amp;$C66,'◆（運営）③結果入力'!$D$16:$K$345,5,FALSE)="","",VLOOKUP(F$6&amp;$C66,'◆（運営）③結果入力'!$D$16:$K$345,5,FALSE)))</f>
      </c>
      <c r="AB66" s="343">
        <f>IF(ISERROR(VLOOKUP(G$6&amp;$C66,'◆（運営）③結果入力'!$D$16:$K$345,5,FALSE)),IF(VLOOKUP(G$6&amp;$C66,'◆（運営）③結果入力'!$E$16:$K$345,7,FALSE)="","",VLOOKUP(G$6&amp;$C66,'◆（運営）③結果入力'!$E$16:$K$345,7,FALSE)),IF(VLOOKUP(G$6&amp;$C66,'◆（運営）③結果入力'!$D$16:$K$345,5,FALSE)="","",VLOOKUP(G$6&amp;$C66,'◆（運営）③結果入力'!$D$16:$K$345,5,FALSE)))</f>
      </c>
      <c r="AC66" s="343">
        <f>IF(ISERROR(VLOOKUP(H$6&amp;$C66,'◆（運営）③結果入力'!$D$16:$K$345,5,FALSE)),IF(VLOOKUP(H$6&amp;$C66,'◆（運営）③結果入力'!$E$16:$K$345,7,FALSE)="","",VLOOKUP(H$6&amp;$C66,'◆（運営）③結果入力'!$E$16:$K$345,7,FALSE)),IF(VLOOKUP(H$6&amp;$C66,'◆（運営）③結果入力'!$D$16:$K$345,5,FALSE)="","",VLOOKUP(H$6&amp;$C66,'◆（運営）③結果入力'!$D$16:$K$345,5,FALSE)))</f>
        <v>106</v>
      </c>
      <c r="AD66" s="343">
        <f>IF(ISERROR(VLOOKUP(I$6&amp;$C66,'◆（運営）③結果入力'!$D$16:$K$345,5,FALSE)),IF(VLOOKUP(I$6&amp;$C66,'◆（運営）③結果入力'!$E$16:$K$345,7,FALSE)="","",VLOOKUP(I$6&amp;$C66,'◆（運営）③結果入力'!$E$16:$K$345,7,FALSE)),IF(VLOOKUP(I$6&amp;$C66,'◆（運営）③結果入力'!$D$16:$K$345,5,FALSE)="","",VLOOKUP(I$6&amp;$C66,'◆（運営）③結果入力'!$D$16:$K$345,5,FALSE)))</f>
      </c>
      <c r="AE66" s="343">
        <f>IF(ISERROR(VLOOKUP(J$6&amp;$C66,'◆（運営）③結果入力'!$D$16:$K$345,5,FALSE)),IF(VLOOKUP(J$6&amp;$C66,'◆（運営）③結果入力'!$E$16:$K$345,7,FALSE)="","",VLOOKUP(J$6&amp;$C66,'◆（運営）③結果入力'!$E$16:$K$345,7,FALSE)),IF(VLOOKUP(J$6&amp;$C66,'◆（運営）③結果入力'!$D$16:$K$345,5,FALSE)="","",VLOOKUP(J$6&amp;$C66,'◆（運営）③結果入力'!$D$16:$K$345,5,FALSE)))</f>
      </c>
      <c r="AF66" s="343">
        <f>IF(ISERROR(VLOOKUP(K$6&amp;$C66,'◆（運営）③結果入力'!$D$16:$K$345,5,FALSE)),IF(VLOOKUP(K$6&amp;$C66,'◆（運営）③結果入力'!$E$16:$K$345,7,FALSE)="","",VLOOKUP(K$6&amp;$C66,'◆（運営）③結果入力'!$E$16:$K$345,7,FALSE)),IF(VLOOKUP(K$6&amp;$C66,'◆（運営）③結果入力'!$D$16:$K$345,5,FALSE)="","",VLOOKUP(K$6&amp;$C66,'◆（運営）③結果入力'!$D$16:$K$345,5,FALSE)))</f>
      </c>
      <c r="AG66" s="343">
        <f>IF(ISERROR(VLOOKUP(L$6&amp;$C66,'◆（運営）③結果入力'!$D$16:$K$345,5,FALSE)),IF(VLOOKUP(L$6&amp;$C66,'◆（運営）③結果入力'!$E$16:$K$345,7,FALSE)="","",VLOOKUP(L$6&amp;$C66,'◆（運営）③結果入力'!$E$16:$K$345,7,FALSE)),IF(VLOOKUP(L$6&amp;$C66,'◆（運営）③結果入力'!$D$16:$K$345,5,FALSE)="","",VLOOKUP(L$6&amp;$C66,'◆（運営）③結果入力'!$D$16:$K$345,5,FALSE)))</f>
      </c>
      <c r="AH66" s="386"/>
      <c r="AI66" s="343">
        <f>IF(ISERROR(VLOOKUP(N$6&amp;$C66,'◆（運営）③結果入力'!$D$16:$K$345,5,FALSE)),IF(VLOOKUP(N$6&amp;$C66,'◆（運営）③結果入力'!$E$16:$K$345,7,FALSE)="","",VLOOKUP(N$6&amp;$C66,'◆（運営）③結果入力'!$E$16:$K$345,7,FALSE)),IF(VLOOKUP(N$6&amp;$C66,'◆（運営）③結果入力'!$D$16:$K$345,5,FALSE)="","",VLOOKUP(N$6&amp;$C66,'◆（運営）③結果入力'!$D$16:$K$345,5,FALSE)))</f>
      </c>
      <c r="AJ66" s="343">
        <f>IF(O58="","",IF(ISERROR(VLOOKUP(O$6&amp;$C66,'◆（運営）③結果入力'!$D$16:$K$345,5,FALSE)),IF(VLOOKUP(O$6&amp;$C66,'◆（運営）③結果入力'!$E$16:$K$345,7,FALSE)="","",VLOOKUP(O$6&amp;$C66,'◆（運営）③結果入力'!$E$16:$K$345,7,FALSE)),IF(VLOOKUP(O$6&amp;$C66,'◆（運営）③結果入力'!$D$16:$K$345,5,FALSE)="","",VLOOKUP(O$6&amp;$C66,'◆（運営）③結果入力'!$D$16:$K$345,5,FALSE))))</f>
      </c>
      <c r="AK66" s="343"/>
      <c r="AL66" s="344"/>
      <c r="AM66" s="345">
        <f t="shared" si="73"/>
        <v>106</v>
      </c>
      <c r="AO66" s="335">
        <f t="shared" si="74"/>
        <v>0</v>
      </c>
      <c r="AP66" s="335">
        <f t="shared" si="75"/>
        <v>0</v>
      </c>
      <c r="AQ66" s="335">
        <f t="shared" si="76"/>
        <v>106</v>
      </c>
      <c r="AR66" s="335">
        <f t="shared" si="77"/>
        <v>106</v>
      </c>
      <c r="AS66" s="335">
        <f t="shared" si="78"/>
        <v>14</v>
      </c>
    </row>
    <row r="67" spans="1:45" ht="12" customHeight="1">
      <c r="A67" s="274">
        <v>9</v>
      </c>
      <c r="B67" s="315" t="str">
        <f t="shared" si="63"/>
        <v>岐阜</v>
      </c>
      <c r="C67" s="316" t="str">
        <f>IF(B67="","",VLOOKUP(B67,'ブロック表'!$C$4:$N$15,11,FALSE))</f>
        <v>野原 朋和</v>
      </c>
      <c r="D67" s="317"/>
      <c r="E67" s="318"/>
      <c r="F67" s="319">
        <f>IF(ISERROR(VLOOKUP(F$6&amp;$C67,'◆（運営）③結果入力'!$D$16:$I$345,6,FALSE)),IF(VLOOKUP(F$6&amp;$C67,'◆（運営）③結果入力'!$E$16:$J$345,6,FALSE)="","",VLOOKUP(F$6&amp;$C67,'◆（運営）③結果入力'!$E$16:$J$345,6,FALSE)),IF(VLOOKUP(F$6&amp;$C67,'◆（運営）③結果入力'!$D$16:$I$345,6,FALSE)="","",VLOOKUP(F$6&amp;$C67,'◆（運営）③結果入力'!$D$16:$I$345,6,FALSE)))</f>
        <v>102</v>
      </c>
      <c r="G67" s="320">
        <f>IF(ISERROR(VLOOKUP(G$6&amp;$C67,'◆（運営）③結果入力'!$D$16:$I$345,6,FALSE)),IF(VLOOKUP(G$6&amp;$C67,'◆（運営）③結果入力'!$E$16:$J$345,6,FALSE)="","",VLOOKUP(G$6&amp;$C67,'◆（運営）③結果入力'!$E$16:$J$345,6,FALSE)),IF(VLOOKUP(G$6&amp;$C67,'◆（運営）③結果入力'!$D$16:$I$345,6,FALSE)="","",VLOOKUP(G$6&amp;$C67,'◆（運営）③結果入力'!$D$16:$I$345,6,FALSE)))</f>
        <v>78</v>
      </c>
      <c r="H67" s="320">
        <f>IF(ISERROR(VLOOKUP(H$6&amp;$C67,'◆（運営）③結果入力'!$D$16:$I$345,6,FALSE)),IF(VLOOKUP(H$6&amp;$C67,'◆（運営）③結果入力'!$E$16:$J$345,6,FALSE)="","",VLOOKUP(H$6&amp;$C67,'◆（運営）③結果入力'!$E$16:$J$345,6,FALSE)),IF(VLOOKUP(H$6&amp;$C67,'◆（運営）③結果入力'!$D$16:$I$345,6,FALSE)="","",VLOOKUP(H$6&amp;$C67,'◆（運営）③結果入力'!$D$16:$I$345,6,FALSE)))</f>
        <v>18</v>
      </c>
      <c r="I67" s="320">
        <f>IF(ISERROR(VLOOKUP(I$6&amp;$C67,'◆（運営）③結果入力'!$D$16:$I$345,6,FALSE)),IF(VLOOKUP(I$6&amp;$C67,'◆（運営）③結果入力'!$E$16:$J$345,6,FALSE)="","",VLOOKUP(I$6&amp;$C67,'◆（運営）③結果入力'!$E$16:$J$345,6,FALSE)),IF(VLOOKUP(I$6&amp;$C67,'◆（運営）③結果入力'!$D$16:$I$345,6,FALSE)="","",VLOOKUP(I$6&amp;$C67,'◆（運営）③結果入力'!$D$16:$I$345,6,FALSE)))</f>
        <v>12</v>
      </c>
      <c r="J67" s="320" t="str">
        <f>IF(ISERROR(VLOOKUP(J$6&amp;$C67,'◆（運営）③結果入力'!$D$16:$I$345,6,FALSE)),IF(VLOOKUP(J$6&amp;$C67,'◆（運営）③結果入力'!$E$16:$J$345,6,FALSE)="","",VLOOKUP(J$6&amp;$C67,'◆（運営）③結果入力'!$E$16:$J$345,6,FALSE)),IF(VLOOKUP(J$6&amp;$C67,'◆（運営）③結果入力'!$D$16:$I$345,6,FALSE)="","",VLOOKUP(J$6&amp;$C67,'◆（運営）③結果入力'!$D$16:$I$345,6,FALSE)))</f>
        <v>W</v>
      </c>
      <c r="K67" s="320">
        <f>IF(ISERROR(VLOOKUP(K$6&amp;$C67,'◆（運営）③結果入力'!$D$16:$I$345,6,FALSE)),IF(VLOOKUP(K$6&amp;$C67,'◆（運営）③結果入力'!$E$16:$J$345,6,FALSE)="","",VLOOKUP(K$6&amp;$C67,'◆（運営）③結果入力'!$E$16:$J$345,6,FALSE)),IF(VLOOKUP(K$6&amp;$C67,'◆（運営）③結果入力'!$D$16:$I$345,6,FALSE)="","",VLOOKUP(K$6&amp;$C67,'◆（運営）③結果入力'!$D$16:$I$345,6,FALSE)))</f>
        <v>45</v>
      </c>
      <c r="L67" s="320">
        <f>IF(ISERROR(VLOOKUP(L$6&amp;$C67,'◆（運営）③結果入力'!$D$16:$I$345,6,FALSE)),IF(VLOOKUP(L$6&amp;$C67,'◆（運営）③結果入力'!$E$16:$J$345,6,FALSE)="","",VLOOKUP(L$6&amp;$C67,'◆（運営）③結果入力'!$E$16:$J$345,6,FALSE)),IF(VLOOKUP(L$6&amp;$C67,'◆（運営）③結果入力'!$D$16:$I$345,6,FALSE)="","",VLOOKUP(L$6&amp;$C67,'◆（運営）③結果入力'!$D$16:$I$345,6,FALSE)))</f>
        <v>109</v>
      </c>
      <c r="M67" s="320">
        <f>IF(ISERROR(VLOOKUP(M$6&amp;$C67,'◆（運営）③結果入力'!$D$16:$I$345,6,FALSE)),IF(VLOOKUP(M$6&amp;$C67,'◆（運営）③結果入力'!$E$16:$J$345,6,FALSE)="","",VLOOKUP(M$6&amp;$C67,'◆（運営）③結果入力'!$E$16:$J$345,6,FALSE)),IF(VLOOKUP(M$6&amp;$C67,'◆（運営）③結果入力'!$D$16:$I$345,6,FALSE)="","",VLOOKUP(M$6&amp;$C67,'◆（運営）③結果入力'!$D$16:$I$345,6,FALSE)))</f>
        <v>4</v>
      </c>
      <c r="N67" s="383"/>
      <c r="O67" s="320">
        <f>IF(O58="","",IF(ISERROR(VLOOKUP(O$6&amp;$C67,'◆（運営）③結果入力'!$D$16:$I$345,6,FALSE)),IF(VLOOKUP(O$6&amp;$C67,'◆（運営）③結果入力'!$E$16:$J$345,6,FALSE)="","",VLOOKUP(O$6&amp;$C67,'◆（運営）③結果入力'!$E$16:$J$345,6,FALSE)),IF(VLOOKUP(O$6&amp;$C67,'◆（運営）③結果入力'!$D$16:$I$345,6,FALSE)="","",VLOOKUP(O$6&amp;$C67,'◆（運営）③結果入力'!$D$16:$I$345,6,FALSE))))</f>
        <v>9</v>
      </c>
      <c r="P67" s="340">
        <f t="shared" si="64"/>
        <v>1</v>
      </c>
      <c r="Q67" s="200">
        <f t="shared" si="65"/>
        <v>8</v>
      </c>
      <c r="R67" s="341">
        <f t="shared" si="66"/>
        <v>497</v>
      </c>
      <c r="S67" s="341">
        <f>IF(COUNTBLANK(F67:O67)=10,"",SUM(N59:N68)+(Q67*120))</f>
        <v>1058</v>
      </c>
      <c r="T67" s="303">
        <f t="shared" si="67"/>
        <v>10</v>
      </c>
      <c r="U67" s="276">
        <f t="shared" si="68"/>
        <v>9</v>
      </c>
      <c r="V67" s="276">
        <f t="shared" si="69"/>
        <v>0</v>
      </c>
      <c r="W67" s="276">
        <f t="shared" si="70"/>
        <v>104968942</v>
      </c>
      <c r="X67" s="276">
        <f>IF(W67=0,"",IF(W67=MAX($W$15,$W$28,$W$41,$W$54,$W$67),1,""))</f>
      </c>
      <c r="Y67" s="276" t="str">
        <f t="shared" si="71"/>
        <v>岐阜</v>
      </c>
      <c r="Z67" s="276" t="str">
        <f t="shared" si="72"/>
        <v>野原 朋和</v>
      </c>
      <c r="AA67" s="342">
        <f>IF(ISERROR(VLOOKUP(F$6&amp;$C67,'◆（運営）③結果入力'!$D$16:$K$345,5,FALSE)),IF(VLOOKUP(F$6&amp;$C67,'◆（運営）③結果入力'!$E$16:$K$345,7,FALSE)="","",VLOOKUP(F$6&amp;$C67,'◆（運営）③結果入力'!$E$16:$K$345,7,FALSE)),IF(VLOOKUP(F$6&amp;$C67,'◆（運営）③結果入力'!$D$16:$K$345,5,FALSE)="","",VLOOKUP(F$6&amp;$C67,'◆（運営）③結果入力'!$D$16:$K$345,5,FALSE)))</f>
      </c>
      <c r="AB67" s="343">
        <f>IF(ISERROR(VLOOKUP(G$6&amp;$C67,'◆（運営）③結果入力'!$D$16:$K$345,5,FALSE)),IF(VLOOKUP(G$6&amp;$C67,'◆（運営）③結果入力'!$E$16:$K$345,7,FALSE)="","",VLOOKUP(G$6&amp;$C67,'◆（運営）③結果入力'!$E$16:$K$345,7,FALSE)),IF(VLOOKUP(G$6&amp;$C67,'◆（運営）③結果入力'!$D$16:$K$345,5,FALSE)="","",VLOOKUP(G$6&amp;$C67,'◆（運営）③結果入力'!$D$16:$K$345,5,FALSE)))</f>
      </c>
      <c r="AC67" s="343">
        <f>IF(ISERROR(VLOOKUP(H$6&amp;$C67,'◆（運営）③結果入力'!$D$16:$K$345,5,FALSE)),IF(VLOOKUP(H$6&amp;$C67,'◆（運営）③結果入力'!$E$16:$K$345,7,FALSE)="","",VLOOKUP(H$6&amp;$C67,'◆（運営）③結果入力'!$E$16:$K$345,7,FALSE)),IF(VLOOKUP(H$6&amp;$C67,'◆（運営）③結果入力'!$D$16:$K$345,5,FALSE)="","",VLOOKUP(H$6&amp;$C67,'◆（運営）③結果入力'!$D$16:$K$345,5,FALSE)))</f>
      </c>
      <c r="AD67" s="343">
        <f>IF(ISERROR(VLOOKUP(I$6&amp;$C67,'◆（運営）③結果入力'!$D$16:$K$345,5,FALSE)),IF(VLOOKUP(I$6&amp;$C67,'◆（運営）③結果入力'!$E$16:$K$345,7,FALSE)="","",VLOOKUP(I$6&amp;$C67,'◆（運営）③結果入力'!$E$16:$K$345,7,FALSE)),IF(VLOOKUP(I$6&amp;$C67,'◆（運営）③結果入力'!$D$16:$K$345,5,FALSE)="","",VLOOKUP(I$6&amp;$C67,'◆（運営）③結果入力'!$D$16:$K$345,5,FALSE)))</f>
      </c>
      <c r="AE67" s="343">
        <f>IF(ISERROR(VLOOKUP(J$6&amp;$C67,'◆（運営）③結果入力'!$D$16:$K$345,5,FALSE)),IF(VLOOKUP(J$6&amp;$C67,'◆（運営）③結果入力'!$E$16:$K$345,7,FALSE)="","",VLOOKUP(J$6&amp;$C67,'◆（運営）③結果入力'!$E$16:$K$345,7,FALSE)),IF(VLOOKUP(J$6&amp;$C67,'◆（運営）③結果入力'!$D$16:$K$345,5,FALSE)="","",VLOOKUP(J$6&amp;$C67,'◆（運営）③結果入力'!$D$16:$K$345,5,FALSE)))</f>
      </c>
      <c r="AF67" s="343">
        <f>IF(ISERROR(VLOOKUP(K$6&amp;$C67,'◆（運営）③結果入力'!$D$16:$K$345,5,FALSE)),IF(VLOOKUP(K$6&amp;$C67,'◆（運営）③結果入力'!$E$16:$K$345,7,FALSE)="","",VLOOKUP(K$6&amp;$C67,'◆（運営）③結果入力'!$E$16:$K$345,7,FALSE)),IF(VLOOKUP(K$6&amp;$C67,'◆（運営）③結果入力'!$D$16:$K$345,5,FALSE)="","",VLOOKUP(K$6&amp;$C67,'◆（運営）③結果入力'!$D$16:$K$345,5,FALSE)))</f>
      </c>
      <c r="AG67" s="343">
        <f>IF(ISERROR(VLOOKUP(L$6&amp;$C67,'◆（運営）③結果入力'!$D$16:$K$345,5,FALSE)),IF(VLOOKUP(L$6&amp;$C67,'◆（運営）③結果入力'!$E$16:$K$345,7,FALSE)="","",VLOOKUP(L$6&amp;$C67,'◆（運営）③結果入力'!$E$16:$K$345,7,FALSE)),IF(VLOOKUP(L$6&amp;$C67,'◆（運営）③結果入力'!$D$16:$K$345,5,FALSE)="","",VLOOKUP(L$6&amp;$C67,'◆（運営）③結果入力'!$D$16:$K$345,5,FALSE)))</f>
      </c>
      <c r="AH67" s="343">
        <f>IF(ISERROR(VLOOKUP(M$6&amp;$C67,'◆（運営）③結果入力'!$D$16:$K$345,5,FALSE)),IF(VLOOKUP(M$6&amp;$C67,'◆（運営）③結果入力'!$E$16:$K$345,7,FALSE)="","",VLOOKUP(M$6&amp;$C67,'◆（運営）③結果入力'!$E$16:$K$345,7,FALSE)),IF(VLOOKUP(M$6&amp;$C67,'◆（運営）③結果入力'!$D$16:$K$345,5,FALSE)="","",VLOOKUP(M$6&amp;$C67,'◆（運営）③結果入力'!$D$16:$K$345,5,FALSE)))</f>
      </c>
      <c r="AI67" s="386"/>
      <c r="AJ67" s="343">
        <f>IF(O58="","",IF(ISERROR(VLOOKUP(O$6&amp;$C67,'◆（運営）③結果入力'!$D$16:$K$345,5,FALSE)),IF(VLOOKUP(O$6&amp;$C67,'◆（運営）③結果入力'!$E$16:$K$345,7,FALSE)="","",VLOOKUP(O$6&amp;$C67,'◆（運営）③結果入力'!$E$16:$K$345,7,FALSE)),IF(VLOOKUP(O$6&amp;$C67,'◆（運営）③結果入力'!$D$16:$K$345,5,FALSE)="","",VLOOKUP(O$6&amp;$C67,'◆（運営）③結果入力'!$D$16:$K$345,5,FALSE))))</f>
      </c>
      <c r="AK67" s="343"/>
      <c r="AL67" s="344"/>
      <c r="AM67" s="345">
        <f t="shared" si="73"/>
      </c>
      <c r="AO67" s="335">
        <f t="shared" si="74"/>
        <v>0</v>
      </c>
      <c r="AP67" s="335">
        <f t="shared" si="75"/>
        <v>0</v>
      </c>
      <c r="AQ67" s="335">
        <f t="shared" si="76"/>
        <v>0</v>
      </c>
      <c r="AR67" s="335">
        <f t="shared" si="77"/>
        <v>0</v>
      </c>
      <c r="AS67" s="335">
        <f t="shared" si="78"/>
        <v>17</v>
      </c>
    </row>
    <row r="68" spans="1:45" ht="12.75" customHeight="1">
      <c r="A68" s="274">
        <v>10</v>
      </c>
      <c r="B68" s="321" t="str">
        <f t="shared" si="63"/>
        <v>大阪B</v>
      </c>
      <c r="C68" s="322" t="str">
        <f>IF(B68="","",VLOOKUP(B68,'ブロック表'!$C$4:$N$15,11,FALSE))</f>
        <v>小森 雅昭</v>
      </c>
      <c r="D68" s="323"/>
      <c r="E68" s="324"/>
      <c r="F68" s="325" t="str">
        <f>IF(C68="","",IF(ISERROR(VLOOKUP(F$6&amp;$C68,'◆（運営）③結果入力'!$D$16:$I$345,6,FALSE)),IF(VLOOKUP(F$6&amp;$C68,'◆（運営）③結果入力'!$E$16:$J$345,6,FALSE)="","",VLOOKUP(F$6&amp;$C68,'◆（運営）③結果入力'!$E$16:$J$345,6,FALSE)),IF(VLOOKUP(F$6&amp;$C68,'◆（運営）③結果入力'!$D$16:$I$345,6,FALSE)="","",VLOOKUP(F$6&amp;$C68,'◆（運営）③結果入力'!$D$16:$I$345,6,FALSE))))</f>
        <v>W</v>
      </c>
      <c r="G68" s="327">
        <f>IF(C68="","",IF(ISERROR(VLOOKUP(G$6&amp;$C68,'◆（運営）③結果入力'!$D$16:$I$345,6,FALSE)),IF(VLOOKUP(G$6&amp;$C68,'◆（運営）③結果入力'!$E$16:$J$345,6,FALSE)="","",VLOOKUP(G$6&amp;$C68,'◆（運営）③結果入力'!$E$16:$J$345,6,FALSE)),IF(VLOOKUP(G$6&amp;$C68,'◆（運営）③結果入力'!$D$16:$I$345,6,FALSE)="","",VLOOKUP(G$6&amp;$C68,'◆（運営）③結果入力'!$D$16:$I$345,6,FALSE))))</f>
        <v>115</v>
      </c>
      <c r="H68" s="327" t="str">
        <f>IF(C68="","",IF(ISERROR(VLOOKUP(H$6&amp;$C68,'◆（運営）③結果入力'!$D$16:$I$345,6,FALSE)),IF(VLOOKUP(H$6&amp;$C68,'◆（運営）③結果入力'!$E$16:$J$345,6,FALSE)="","",VLOOKUP(H$6&amp;$C68,'◆（運営）③結果入力'!$E$16:$J$345,6,FALSE)),IF(VLOOKUP(H$6&amp;$C68,'◆（運営）③結果入力'!$D$16:$I$345,6,FALSE)="","",VLOOKUP(H$6&amp;$C68,'◆（運営）③結果入力'!$D$16:$I$345,6,FALSE))))</f>
        <v>W</v>
      </c>
      <c r="I68" s="327">
        <f>IF(C68="","",IF(ISERROR(VLOOKUP(I$6&amp;$C68,'◆（運営）③結果入力'!$D$16:$I$345,6,FALSE)),IF(VLOOKUP(I$6&amp;$C68,'◆（運営）③結果入力'!$E$16:$J$345,6,FALSE)="","",VLOOKUP(I$6&amp;$C68,'◆（運営）③結果入力'!$E$16:$J$345,6,FALSE)),IF(VLOOKUP(I$6&amp;$C68,'◆（運営）③結果入力'!$D$16:$I$345,6,FALSE)="","",VLOOKUP(I$6&amp;$C68,'◆（運営）③結果入力'!$D$16:$I$345,6,FALSE))))</f>
        <v>90</v>
      </c>
      <c r="J68" s="327">
        <f>IF(C68="","",IF(ISERROR(VLOOKUP(J$6&amp;$C68,'◆（運営）③結果入力'!$D$16:$I$345,6,FALSE)),IF(VLOOKUP(J$6&amp;$C68,'◆（運営）③結果入力'!$E$16:$J$345,6,FALSE)="","",VLOOKUP(J$6&amp;$C68,'◆（運営）③結果入力'!$E$16:$J$345,6,FALSE)),IF(VLOOKUP(J$6&amp;$C68,'◆（運営）③結果入力'!$D$16:$I$345,6,FALSE)="","",VLOOKUP(J$6&amp;$C68,'◆（運営）③結果入力'!$D$16:$I$345,6,FALSE))))</f>
        <v>118</v>
      </c>
      <c r="K68" s="327">
        <f>IF(C68="","",IF(ISERROR(VLOOKUP(K$6&amp;$C68,'◆（運営）③結果入力'!$D$16:$I$345,6,FALSE)),IF(VLOOKUP(K$6&amp;$C68,'◆（運営）③結果入力'!$E$16:$J$345,6,FALSE)="","",VLOOKUP(K$6&amp;$C68,'◆（運営）③結果入力'!$E$16:$J$345,6,FALSE)),IF(VLOOKUP(K$6&amp;$C68,'◆（運営）③結果入力'!$D$16:$I$345,6,FALSE)="","",VLOOKUP(K$6&amp;$C68,'◆（運営）③結果入力'!$D$16:$I$345,6,FALSE))))</f>
        <v>85</v>
      </c>
      <c r="L68" s="327" t="str">
        <f>IF(C68="","",IF(ISERROR(VLOOKUP(L$6&amp;$C68,'◆（運営）③結果入力'!$D$16:$I$345,6,FALSE)),IF(VLOOKUP(L$6&amp;$C68,'◆（運営）③結果入力'!$E$16:$J$345,6,FALSE)="","",VLOOKUP(L$6&amp;$C68,'◆（運営）③結果入力'!$E$16:$J$345,6,FALSE)),IF(VLOOKUP(L$6&amp;$C68,'◆（運営）③結果入力'!$D$16:$I$345,6,FALSE)="","",VLOOKUP(L$6&amp;$C68,'◆（運営）③結果入力'!$D$16:$I$345,6,FALSE))))</f>
        <v>W</v>
      </c>
      <c r="M68" s="327">
        <f>IF(C68="","",IF(ISERROR(VLOOKUP(M$6&amp;$C68,'◆（運営）③結果入力'!$D$16:$I$345,6,FALSE)),IF(VLOOKUP(M$6&amp;$C68,'◆（運営）③結果入力'!$E$16:$J$345,6,FALSE)="","",VLOOKUP(M$6&amp;$C68,'◆（運営）③結果入力'!$E$16:$J$345,6,FALSE)),IF(VLOOKUP(M$6&amp;$C68,'◆（運営）③結果入力'!$D$16:$I$345,6,FALSE)="","",VLOOKUP(M$6&amp;$C68,'◆（運営）③結果入力'!$D$16:$I$345,6,FALSE))))</f>
        <v>34</v>
      </c>
      <c r="N68" s="327" t="str">
        <f>IF(C68="","",IF(ISERROR(VLOOKUP(N$6&amp;$C68,'◆（運営）③結果入力'!$D$16:$I$345,6,FALSE)),IF(VLOOKUP(N$6&amp;$C68,'◆（運営）③結果入力'!$E$16:$J$345,6,FALSE)="","",VLOOKUP(N$6&amp;$C68,'◆（運営）③結果入力'!$E$16:$J$345,6,FALSE)),IF(VLOOKUP(N$6&amp;$C68,'◆（運営）③結果入力'!$D$16:$I$345,6,FALSE)="","",VLOOKUP(N$6&amp;$C68,'◆（運営）③結果入力'!$D$16:$I$345,6,FALSE))))</f>
        <v>W</v>
      </c>
      <c r="O68" s="384"/>
      <c r="P68" s="346">
        <f t="shared" si="64"/>
        <v>4</v>
      </c>
      <c r="Q68" s="326">
        <f t="shared" si="65"/>
        <v>5</v>
      </c>
      <c r="R68" s="347">
        <f t="shared" si="66"/>
        <v>922</v>
      </c>
      <c r="S68" s="347">
        <f>IF(COUNTBLANK(F68:O68)=10,"",SUM(O59:O68)+(Q68*120))</f>
        <v>809</v>
      </c>
      <c r="T68" s="314">
        <f t="shared" si="67"/>
        <v>7</v>
      </c>
      <c r="U68" s="348">
        <f t="shared" si="68"/>
        <v>9</v>
      </c>
      <c r="V68" s="348">
        <f t="shared" si="69"/>
        <v>0</v>
      </c>
      <c r="W68" s="348">
        <f t="shared" si="70"/>
        <v>409219191</v>
      </c>
      <c r="X68" s="348">
        <f>IF(W68=0,"",IF(W68=MAX($W$16,$W$29,$W$42,$W$55,$W$68),1,""))</f>
        <v>1</v>
      </c>
      <c r="Y68" s="348" t="str">
        <f t="shared" si="71"/>
        <v>1大阪B</v>
      </c>
      <c r="Z68" s="348" t="str">
        <f t="shared" si="72"/>
        <v>小森 雅昭</v>
      </c>
      <c r="AA68" s="349">
        <f>IF(C68="","",IF(ISERROR(VLOOKUP(F$6&amp;$C68,'◆（運営）③結果入力'!$D$16:$K$345,5,FALSE)),IF(VLOOKUP(F$6&amp;$C68,'◆（運営）③結果入力'!$E$16:$K$345,7,FALSE)="","",VLOOKUP(F$6&amp;$C68,'◆（運営）③結果入力'!$E$16:$K$345,7,FALSE)),IF(VLOOKUP(F$6&amp;$C68,'◆（運営）③結果入力'!$D$16:$K$345,5,FALSE)="","",VLOOKUP(F$6&amp;$C68,'◆（運営）③結果入力'!$D$16:$K$345,5,FALSE))))</f>
      </c>
      <c r="AB68" s="350">
        <f>IF(C68="","",IF(ISERROR(VLOOKUP(G$6&amp;$C68,'◆（運営）③結果入力'!$D$16:$K$345,5,FALSE)),IF(VLOOKUP(G$6&amp;$C68,'◆（運営）③結果入力'!$E$16:$K$345,7,FALSE)="","",VLOOKUP(G$6&amp;$C68,'◆（運営）③結果入力'!$E$16:$K$345,7,FALSE)),IF(VLOOKUP(G$6&amp;$C68,'◆（運営）③結果入力'!$D$16:$K$345,5,FALSE)="","",VLOOKUP(G$6&amp;$C68,'◆（運営）③結果入力'!$D$16:$K$345,5,FALSE))))</f>
      </c>
      <c r="AC68" s="350">
        <f>IF(C68="","",IF(ISERROR(VLOOKUP(H$6&amp;$C68,'◆（運営）③結果入力'!$D$16:$K$345,5,FALSE)),IF(VLOOKUP(H$6&amp;$C68,'◆（運営）③結果入力'!$E$16:$K$345,7,FALSE)="","",VLOOKUP(H$6&amp;$C68,'◆（運営）③結果入力'!$E$16:$K$345,7,FALSE)),IF(VLOOKUP(H$6&amp;$C68,'◆（運営）③結果入力'!$D$16:$K$345,5,FALSE)="","",VLOOKUP(H$6&amp;$C68,'◆（運営）③結果入力'!$D$16:$K$345,5,FALSE))))</f>
      </c>
      <c r="AD68" s="350">
        <f>IF(C68="","",IF(ISERROR(VLOOKUP(I$6&amp;$C68,'◆（運営）③結果入力'!$D$16:$K$345,5,FALSE)),IF(VLOOKUP(I$6&amp;$C68,'◆（運営）③結果入力'!$E$16:$K$345,7,FALSE)="","",VLOOKUP(I$6&amp;$C68,'◆（運営）③結果入力'!$E$16:$K$345,7,FALSE)),IF(VLOOKUP(I$6&amp;$C68,'◆（運営）③結果入力'!$D$16:$K$345,5,FALSE)="","",VLOOKUP(I$6&amp;$C68,'◆（運営）③結果入力'!$D$16:$K$345,5,FALSE))))</f>
      </c>
      <c r="AE68" s="350">
        <f>IF(C68="","",IF(ISERROR(VLOOKUP(J$6&amp;$C68,'◆（運営）③結果入力'!$D$16:$K$345,5,FALSE)),IF(VLOOKUP(J$6&amp;$C68,'◆（運営）③結果入力'!$E$16:$K$345,7,FALSE)="","",VLOOKUP(J$6&amp;$C68,'◆（運営）③結果入力'!$E$16:$K$345,7,FALSE)),IF(VLOOKUP(J$6&amp;$C68,'◆（運営）③結果入力'!$D$16:$K$345,5,FALSE)="","",VLOOKUP(J$6&amp;$C68,'◆（運営）③結果入力'!$D$16:$K$345,5,FALSE))))</f>
      </c>
      <c r="AF68" s="350">
        <f>IF(C68="","",IF(ISERROR(VLOOKUP(K$6&amp;$C68,'◆（運営）③結果入力'!$D$16:$K$345,5,FALSE)),IF(VLOOKUP(K$6&amp;$C68,'◆（運営）③結果入力'!$E$16:$K$345,7,FALSE)="","",VLOOKUP(K$6&amp;$C68,'◆（運営）③結果入力'!$E$16:$K$345,7,FALSE)),IF(VLOOKUP(K$6&amp;$C68,'◆（運営）③結果入力'!$D$16:$K$345,5,FALSE)="","",VLOOKUP(K$6&amp;$C68,'◆（運営）③結果入力'!$D$16:$K$345,5,FALSE))))</f>
      </c>
      <c r="AG68" s="350">
        <f>IF(C68="","",IF(ISERROR(VLOOKUP(L$6&amp;$C68,'◆（運営）③結果入力'!$D$16:$K$345,5,FALSE)),IF(VLOOKUP(L$6&amp;$C68,'◆（運営）③結果入力'!$E$16:$K$345,7,FALSE)="","",VLOOKUP(L$6&amp;$C68,'◆（運営）③結果入力'!$E$16:$K$345,7,FALSE)),IF(VLOOKUP(L$6&amp;$C68,'◆（運営）③結果入力'!$D$16:$K$345,5,FALSE)="","",VLOOKUP(L$6&amp;$C68,'◆（運営）③結果入力'!$D$16:$K$345,5,FALSE))))</f>
      </c>
      <c r="AH68" s="350">
        <f>IF(C68="","",IF(ISERROR(VLOOKUP(M$6&amp;$C68,'◆（運営）③結果入力'!$D$16:$K$345,5,FALSE)),IF(VLOOKUP(M$6&amp;$C68,'◆（運営）③結果入力'!$E$16:$K$345,7,FALSE)="","",VLOOKUP(M$6&amp;$C68,'◆（運営）③結果入力'!$E$16:$K$345,7,FALSE)),IF(VLOOKUP(M$6&amp;$C68,'◆（運営）③結果入力'!$D$16:$K$345,5,FALSE)="","",VLOOKUP(M$6&amp;$C68,'◆（運営）③結果入力'!$D$16:$K$345,5,FALSE))))</f>
      </c>
      <c r="AI68" s="350">
        <f>IF(C68="","",IF(ISERROR(VLOOKUP(N$6&amp;$C68,'◆（運営）③結果入力'!$D$16:$K$345,5,FALSE)),IF(VLOOKUP(N$6&amp;$C68,'◆（運営）③結果入力'!$E$16:$K$345,7,FALSE)="","",VLOOKUP(N$6&amp;$C68,'◆（運営）③結果入力'!$E$16:$K$345,7,FALSE)),IF(VLOOKUP(N$6&amp;$C68,'◆（運営）③結果入力'!$D$16:$K$345,5,FALSE)="","",VLOOKUP(N$6&amp;$C68,'◆（運営）③結果入力'!$D$16:$K$345,5,FALSE))))</f>
      </c>
      <c r="AJ68" s="387"/>
      <c r="AK68" s="350"/>
      <c r="AL68" s="351"/>
      <c r="AM68" s="352">
        <f t="shared" si="73"/>
      </c>
      <c r="AO68" s="335">
        <f t="shared" si="74"/>
        <v>0</v>
      </c>
      <c r="AP68" s="335">
        <f t="shared" si="75"/>
        <v>0</v>
      </c>
      <c r="AQ68" s="335">
        <f t="shared" si="76"/>
        <v>0</v>
      </c>
      <c r="AR68" s="335">
        <f t="shared" si="77"/>
        <v>0</v>
      </c>
      <c r="AS68" s="335">
        <f t="shared" si="78"/>
        <v>17</v>
      </c>
    </row>
    <row r="71" spans="3:15" ht="12.75" customHeight="1">
      <c r="C71" s="414" t="s">
        <v>244</v>
      </c>
      <c r="D71" s="414"/>
      <c r="F71" s="30">
        <v>1</v>
      </c>
      <c r="G71" s="30">
        <v>2</v>
      </c>
      <c r="H71" s="30">
        <v>3</v>
      </c>
      <c r="I71" s="30">
        <v>4</v>
      </c>
      <c r="J71" s="30">
        <v>5</v>
      </c>
      <c r="K71" s="30">
        <v>6</v>
      </c>
      <c r="L71" s="30">
        <v>7</v>
      </c>
      <c r="M71" s="30">
        <v>8</v>
      </c>
      <c r="N71" s="30">
        <v>9</v>
      </c>
      <c r="O71" s="30">
        <v>10</v>
      </c>
    </row>
    <row r="72" spans="2:35" ht="50.25" customHeight="1">
      <c r="B72" s="415" t="s">
        <v>229</v>
      </c>
      <c r="C72" s="416"/>
      <c r="D72" s="416"/>
      <c r="E72" s="417"/>
      <c r="F72" s="353" t="str">
        <f>B73</f>
        <v>兵庫</v>
      </c>
      <c r="G72" s="354" t="str">
        <f>B74</f>
        <v>愛知</v>
      </c>
      <c r="H72" s="354" t="str">
        <f>B75</f>
        <v>京都</v>
      </c>
      <c r="I72" s="354" t="str">
        <f>B76</f>
        <v>大阪A</v>
      </c>
      <c r="J72" s="354" t="str">
        <f>B77</f>
        <v>和歌山</v>
      </c>
      <c r="K72" s="354" t="str">
        <f>B78</f>
        <v>滋賀</v>
      </c>
      <c r="L72" s="354" t="str">
        <f>B79</f>
        <v>奈良</v>
      </c>
      <c r="M72" s="354" t="str">
        <f>B80</f>
        <v>三重</v>
      </c>
      <c r="N72" s="354" t="str">
        <f>B81:B81</f>
        <v>岐阜</v>
      </c>
      <c r="O72" s="354" t="str">
        <f>B82</f>
        <v>大阪B</v>
      </c>
      <c r="P72" s="355" t="s">
        <v>230</v>
      </c>
      <c r="Q72" s="356" t="s">
        <v>231</v>
      </c>
      <c r="R72" s="356" t="s">
        <v>232</v>
      </c>
      <c r="S72" s="356" t="s">
        <v>233</v>
      </c>
      <c r="T72" s="357" t="s">
        <v>234</v>
      </c>
      <c r="U72" s="358" t="s">
        <v>235</v>
      </c>
      <c r="V72" s="358" t="s">
        <v>236</v>
      </c>
      <c r="W72" s="359" t="s">
        <v>237</v>
      </c>
      <c r="X72" s="360" t="s">
        <v>14</v>
      </c>
      <c r="Y72" s="360"/>
      <c r="Z72" s="360"/>
      <c r="AA72" s="361" t="s">
        <v>245</v>
      </c>
      <c r="AB72" s="362"/>
      <c r="AC72" s="362" t="s">
        <v>246</v>
      </c>
      <c r="AD72" s="362"/>
      <c r="AE72" s="362" t="s">
        <v>247</v>
      </c>
      <c r="AF72" s="362"/>
      <c r="AG72" s="362" t="s">
        <v>248</v>
      </c>
      <c r="AH72" s="363"/>
      <c r="AI72" s="364"/>
    </row>
    <row r="73" spans="1:35" ht="12.75" customHeight="1">
      <c r="A73" s="274">
        <v>1</v>
      </c>
      <c r="B73" s="374" t="str">
        <f aca="true" t="shared" si="79" ref="B73:B82">B7</f>
        <v>兵庫</v>
      </c>
      <c r="C73" s="365" t="str">
        <f>'①（準備）選手登録'!D16</f>
        <v>HRC</v>
      </c>
      <c r="D73" s="294"/>
      <c r="E73" s="295"/>
      <c r="F73" s="382">
        <f aca="true" t="shared" si="80" ref="F73:O73">IF(COUNTBLANK(F7)+COUNTBLANK(F20)+COUNTBLANK(F33)+COUNTBLANK(F46)+COUNTBLANK(F59)=5,"",(COUNTIF(F7,"w")+COUNTIF(F20,"w")+COUNTIF(F33,"w")+COUNTIF(F46,"w")+COUNTIF(F59,"w")))</f>
      </c>
      <c r="G73" s="299">
        <f t="shared" si="80"/>
        <v>2</v>
      </c>
      <c r="H73" s="299">
        <f t="shared" si="80"/>
        <v>2</v>
      </c>
      <c r="I73" s="299">
        <f t="shared" si="80"/>
        <v>4</v>
      </c>
      <c r="J73" s="299">
        <f t="shared" si="80"/>
        <v>3</v>
      </c>
      <c r="K73" s="299">
        <f t="shared" si="80"/>
        <v>1</v>
      </c>
      <c r="L73" s="299">
        <f t="shared" si="80"/>
        <v>5</v>
      </c>
      <c r="M73" s="299">
        <f t="shared" si="80"/>
        <v>3</v>
      </c>
      <c r="N73" s="299">
        <f t="shared" si="80"/>
        <v>4</v>
      </c>
      <c r="O73" s="299">
        <f t="shared" si="80"/>
        <v>3</v>
      </c>
      <c r="P73" s="298">
        <f aca="true" t="shared" si="81" ref="P73:P82">IF(COUNTBLANK(F73:O73)=10,"",SUM(P7,P20,P33,P46,P59))</f>
        <v>27</v>
      </c>
      <c r="Q73" s="299">
        <f aca="true" t="shared" si="82" ref="Q73:Q82">IF(COUNTBLANK(F73:O73)=10,"",SUM(Q59,Q46,Q33,Q20,Q7))</f>
        <v>18</v>
      </c>
      <c r="R73" s="300">
        <f aca="true" t="shared" si="83" ref="R73:R82">IF(COUNTBLANK(F73:O73)=10,"",SUM(R7,R20,R33,R46,R59))</f>
        <v>4179</v>
      </c>
      <c r="S73" s="300">
        <f aca="true" t="shared" si="84" ref="S73:S82">IF(COUNTBLANK(F73:O73)=10,"",SUM(S7,S20,S33,S46,S59))</f>
        <v>3437</v>
      </c>
      <c r="T73" s="336">
        <f aca="true" t="shared" si="85" ref="T73:T82">IF(COUNTBLANK(F73:O73)=10,"",IF(P73+Q73=0,"",RANK(W73,$W$73:$W$82,0)))</f>
        <v>4</v>
      </c>
      <c r="U73" s="276">
        <f aca="true" t="shared" si="86" ref="U73:U82">COUNTA($F$6:$O$6)-1-V73</f>
        <v>9</v>
      </c>
      <c r="V73" s="276">
        <f aca="true" t="shared" si="87" ref="V73:V82">COUNTBLANK(F73:O73)-1</f>
        <v>0</v>
      </c>
      <c r="W73" s="276">
        <f aca="true" t="shared" si="88" ref="W73:W82">IF(P73="",0,P73*100000000+R73*10000-S73)</f>
        <v>2741786563</v>
      </c>
      <c r="X73" s="276" t="str">
        <f aca="true" t="shared" si="89" ref="X73:X82">B73</f>
        <v>兵庫</v>
      </c>
      <c r="AA73" s="410">
        <f aca="true" t="shared" si="90" ref="AA73:AA82">IF(P73="","",P73/(P73+Q73))</f>
        <v>0.6</v>
      </c>
      <c r="AB73" s="411"/>
      <c r="AC73" s="419">
        <f aca="true" t="shared" si="91" ref="AC73:AC82">IF(P73="","",R73/(P73+Q73))</f>
        <v>92.86666666666666</v>
      </c>
      <c r="AD73" s="419"/>
      <c r="AE73" s="419">
        <f aca="true" t="shared" si="92" ref="AE73:AE82">IF(P73="","",S73/(P73+Q73))</f>
        <v>76.37777777777778</v>
      </c>
      <c r="AF73" s="419"/>
      <c r="AG73" s="420" t="str">
        <f aca="true" t="shared" si="93" ref="AG73:AG82">IF(ISERROR(VLOOKUP(1&amp;X73,$Y$7:$Z$82,2,FALSE)),"",VLOOKUP(1&amp;X73,$Y$7:$Z$82,2,FALSE))</f>
        <v>高木 俊行</v>
      </c>
      <c r="AH73" s="420"/>
      <c r="AI73" s="421"/>
    </row>
    <row r="74" spans="1:35" ht="12" customHeight="1">
      <c r="A74" s="274">
        <v>2</v>
      </c>
      <c r="B74" s="375" t="str">
        <f t="shared" si="79"/>
        <v>愛知</v>
      </c>
      <c r="C74" s="366" t="str">
        <f>'①（準備）選手登録'!D18</f>
        <v>ARC</v>
      </c>
      <c r="D74" s="317"/>
      <c r="E74" s="318"/>
      <c r="F74" s="202">
        <f aca="true" t="shared" si="94" ref="F74:N74">IF(COUNTBLANK(F8)+COUNTBLANK(F21)+COUNTBLANK(F34)+COUNTBLANK(F47)+COUNTBLANK(F60)=5,"",(COUNTIF(F8,"w")+COUNTIF(F21,"w")+COUNTIF(F34,"w")+COUNTIF(F47,"w")+COUNTIF(F60,"w")))</f>
        <v>3</v>
      </c>
      <c r="G74" s="383">
        <f t="shared" si="94"/>
      </c>
      <c r="H74" s="200">
        <f t="shared" si="94"/>
        <v>4</v>
      </c>
      <c r="I74" s="200">
        <f t="shared" si="94"/>
        <v>1</v>
      </c>
      <c r="J74" s="200">
        <f t="shared" si="94"/>
        <v>3</v>
      </c>
      <c r="K74" s="200">
        <f t="shared" si="94"/>
        <v>2</v>
      </c>
      <c r="L74" s="200">
        <f t="shared" si="94"/>
        <v>3</v>
      </c>
      <c r="M74" s="200">
        <f t="shared" si="94"/>
        <v>1</v>
      </c>
      <c r="N74" s="200">
        <f t="shared" si="94"/>
        <v>3</v>
      </c>
      <c r="O74" s="299">
        <f aca="true" t="shared" si="95" ref="O74:O82">IF(COUNTBLANK(O8)+COUNTBLANK(O21)+COUNTBLANK(O34)+COUNTBLANK(O47)+COUNTBLANK(O60)=5,"",(COUNTIF(O8,"w")+COUNTIF(O21,"w")+COUNTIF(O34,"w")+COUNTIF(O47,"w")+COUNTIF(O60,"w")))</f>
        <v>5</v>
      </c>
      <c r="P74" s="340">
        <f t="shared" si="81"/>
        <v>25</v>
      </c>
      <c r="Q74" s="200">
        <f t="shared" si="82"/>
        <v>20</v>
      </c>
      <c r="R74" s="341">
        <f t="shared" si="83"/>
        <v>4158</v>
      </c>
      <c r="S74" s="341">
        <f t="shared" si="84"/>
        <v>4035</v>
      </c>
      <c r="T74" s="303">
        <f t="shared" si="85"/>
        <v>5</v>
      </c>
      <c r="U74" s="276">
        <f t="shared" si="86"/>
        <v>9</v>
      </c>
      <c r="V74" s="276">
        <f t="shared" si="87"/>
        <v>0</v>
      </c>
      <c r="W74" s="276">
        <f t="shared" si="88"/>
        <v>2541575965</v>
      </c>
      <c r="X74" s="276" t="str">
        <f t="shared" si="89"/>
        <v>愛知</v>
      </c>
      <c r="AA74" s="403">
        <f t="shared" si="90"/>
        <v>0.5555555555555556</v>
      </c>
      <c r="AB74" s="404"/>
      <c r="AC74" s="418">
        <f t="shared" si="91"/>
        <v>92.4</v>
      </c>
      <c r="AD74" s="418"/>
      <c r="AE74" s="418">
        <f t="shared" si="92"/>
        <v>89.66666666666667</v>
      </c>
      <c r="AF74" s="418"/>
      <c r="AG74" s="422" t="str">
        <f t="shared" si="93"/>
        <v>近藤 智靖</v>
      </c>
      <c r="AH74" s="422"/>
      <c r="AI74" s="423"/>
    </row>
    <row r="75" spans="1:35" ht="12" customHeight="1">
      <c r="A75" s="274">
        <v>3</v>
      </c>
      <c r="B75" s="375" t="str">
        <f t="shared" si="79"/>
        <v>京都</v>
      </c>
      <c r="C75" s="366" t="str">
        <f>'①（準備）選手登録'!D20</f>
        <v>KRC</v>
      </c>
      <c r="D75" s="317"/>
      <c r="E75" s="318"/>
      <c r="F75" s="202">
        <f aca="true" t="shared" si="96" ref="F75:N75">IF(COUNTBLANK(F9)+COUNTBLANK(F22)+COUNTBLANK(F35)+COUNTBLANK(F48)+COUNTBLANK(F61)=5,"",(COUNTIF(F9,"w")+COUNTIF(F22,"w")+COUNTIF(F35,"w")+COUNTIF(F48,"w")+COUNTIF(F61,"w")))</f>
        <v>3</v>
      </c>
      <c r="G75" s="200">
        <f t="shared" si="96"/>
        <v>1</v>
      </c>
      <c r="H75" s="383">
        <f t="shared" si="96"/>
      </c>
      <c r="I75" s="200">
        <f t="shared" si="96"/>
        <v>3</v>
      </c>
      <c r="J75" s="200">
        <f t="shared" si="96"/>
        <v>4</v>
      </c>
      <c r="K75" s="200">
        <f t="shared" si="96"/>
        <v>4</v>
      </c>
      <c r="L75" s="200">
        <f t="shared" si="96"/>
        <v>4</v>
      </c>
      <c r="M75" s="200">
        <f t="shared" si="96"/>
        <v>3</v>
      </c>
      <c r="N75" s="200">
        <f t="shared" si="96"/>
        <v>4</v>
      </c>
      <c r="O75" s="299">
        <f t="shared" si="95"/>
        <v>1</v>
      </c>
      <c r="P75" s="340">
        <f t="shared" si="81"/>
        <v>27</v>
      </c>
      <c r="Q75" s="200">
        <f t="shared" si="82"/>
        <v>18</v>
      </c>
      <c r="R75" s="341">
        <f t="shared" si="83"/>
        <v>4214</v>
      </c>
      <c r="S75" s="341">
        <f t="shared" si="84"/>
        <v>3625</v>
      </c>
      <c r="T75" s="303">
        <f t="shared" si="85"/>
        <v>3</v>
      </c>
      <c r="U75" s="276">
        <f t="shared" si="86"/>
        <v>9</v>
      </c>
      <c r="V75" s="276">
        <f t="shared" si="87"/>
        <v>0</v>
      </c>
      <c r="W75" s="276">
        <f t="shared" si="88"/>
        <v>2742136375</v>
      </c>
      <c r="X75" s="276" t="str">
        <f t="shared" si="89"/>
        <v>京都</v>
      </c>
      <c r="AA75" s="403">
        <f t="shared" si="90"/>
        <v>0.6</v>
      </c>
      <c r="AB75" s="404"/>
      <c r="AC75" s="418">
        <f t="shared" si="91"/>
        <v>93.64444444444445</v>
      </c>
      <c r="AD75" s="418"/>
      <c r="AE75" s="418">
        <f t="shared" si="92"/>
        <v>80.55555555555556</v>
      </c>
      <c r="AF75" s="418"/>
      <c r="AG75" s="422" t="str">
        <f t="shared" si="93"/>
        <v>田附 裕次</v>
      </c>
      <c r="AH75" s="422"/>
      <c r="AI75" s="423"/>
    </row>
    <row r="76" spans="1:35" ht="12" customHeight="1">
      <c r="A76" s="274">
        <v>4</v>
      </c>
      <c r="B76" s="375" t="str">
        <f t="shared" si="79"/>
        <v>大阪A</v>
      </c>
      <c r="C76" s="366" t="str">
        <f>'①（準備）選手登録'!D22</f>
        <v>ORC-A</v>
      </c>
      <c r="D76" s="317"/>
      <c r="E76" s="318"/>
      <c r="F76" s="202">
        <f aca="true" t="shared" si="97" ref="F76:N76">IF(COUNTBLANK(F10)+COUNTBLANK(F23)+COUNTBLANK(F36)+COUNTBLANK(F49)+COUNTBLANK(F62)=5,"",(COUNTIF(F10,"w")+COUNTIF(F23,"w")+COUNTIF(F36,"w")+COUNTIF(F49,"w")+COUNTIF(F62,"w")))</f>
        <v>1</v>
      </c>
      <c r="G76" s="200">
        <f t="shared" si="97"/>
        <v>4</v>
      </c>
      <c r="H76" s="200">
        <f t="shared" si="97"/>
        <v>2</v>
      </c>
      <c r="I76" s="383">
        <f t="shared" si="97"/>
      </c>
      <c r="J76" s="200">
        <f t="shared" si="97"/>
        <v>4</v>
      </c>
      <c r="K76" s="200">
        <f t="shared" si="97"/>
        <v>5</v>
      </c>
      <c r="L76" s="200">
        <f t="shared" si="97"/>
        <v>5</v>
      </c>
      <c r="M76" s="200">
        <f t="shared" si="97"/>
        <v>3</v>
      </c>
      <c r="N76" s="200">
        <f t="shared" si="97"/>
        <v>4</v>
      </c>
      <c r="O76" s="299">
        <f t="shared" si="95"/>
        <v>5</v>
      </c>
      <c r="P76" s="340">
        <f t="shared" si="81"/>
        <v>33</v>
      </c>
      <c r="Q76" s="200">
        <f t="shared" si="82"/>
        <v>12</v>
      </c>
      <c r="R76" s="341">
        <f t="shared" si="83"/>
        <v>4685</v>
      </c>
      <c r="S76" s="341">
        <f t="shared" si="84"/>
        <v>2841</v>
      </c>
      <c r="T76" s="303">
        <f t="shared" si="85"/>
        <v>1</v>
      </c>
      <c r="U76" s="276">
        <f t="shared" si="86"/>
        <v>9</v>
      </c>
      <c r="V76" s="276">
        <f t="shared" si="87"/>
        <v>0</v>
      </c>
      <c r="W76" s="276">
        <f t="shared" si="88"/>
        <v>3346847159</v>
      </c>
      <c r="X76" s="276" t="str">
        <f t="shared" si="89"/>
        <v>大阪A</v>
      </c>
      <c r="AA76" s="403">
        <f t="shared" si="90"/>
        <v>0.7333333333333333</v>
      </c>
      <c r="AB76" s="404"/>
      <c r="AC76" s="418">
        <f t="shared" si="91"/>
        <v>104.11111111111111</v>
      </c>
      <c r="AD76" s="418"/>
      <c r="AE76" s="418">
        <f t="shared" si="92"/>
        <v>63.13333333333333</v>
      </c>
      <c r="AF76" s="418"/>
      <c r="AG76" s="422" t="str">
        <f t="shared" si="93"/>
        <v>山田 玄英</v>
      </c>
      <c r="AH76" s="422"/>
      <c r="AI76" s="423"/>
    </row>
    <row r="77" spans="1:35" ht="12" customHeight="1">
      <c r="A77" s="274">
        <v>5</v>
      </c>
      <c r="B77" s="375" t="str">
        <f t="shared" si="79"/>
        <v>和歌山</v>
      </c>
      <c r="C77" s="366" t="str">
        <f>'①（準備）選手登録'!D24</f>
        <v>WRC</v>
      </c>
      <c r="D77" s="317"/>
      <c r="E77" s="318"/>
      <c r="F77" s="202">
        <f aca="true" t="shared" si="98" ref="F77:N77">IF(COUNTBLANK(F11)+COUNTBLANK(F24)+COUNTBLANK(F37)+COUNTBLANK(F50)+COUNTBLANK(F63)=5,"",(COUNTIF(F11,"w")+COUNTIF(F24,"w")+COUNTIF(F37,"w")+COUNTIF(F50,"w")+COUNTIF(F63,"w")))</f>
        <v>2</v>
      </c>
      <c r="G77" s="200">
        <f t="shared" si="98"/>
        <v>2</v>
      </c>
      <c r="H77" s="200">
        <f t="shared" si="98"/>
        <v>1</v>
      </c>
      <c r="I77" s="200">
        <f t="shared" si="98"/>
        <v>1</v>
      </c>
      <c r="J77" s="383">
        <f t="shared" si="98"/>
      </c>
      <c r="K77" s="200">
        <f t="shared" si="98"/>
        <v>3</v>
      </c>
      <c r="L77" s="200">
        <f t="shared" si="98"/>
        <v>3</v>
      </c>
      <c r="M77" s="200">
        <f t="shared" si="98"/>
        <v>1</v>
      </c>
      <c r="N77" s="200">
        <f t="shared" si="98"/>
        <v>3</v>
      </c>
      <c r="O77" s="299">
        <f t="shared" si="95"/>
        <v>3</v>
      </c>
      <c r="P77" s="340">
        <f t="shared" si="81"/>
        <v>19</v>
      </c>
      <c r="Q77" s="200">
        <f t="shared" si="82"/>
        <v>26</v>
      </c>
      <c r="R77" s="341">
        <f t="shared" si="83"/>
        <v>3949</v>
      </c>
      <c r="S77" s="341">
        <f t="shared" si="84"/>
        <v>4426</v>
      </c>
      <c r="T77" s="303">
        <f t="shared" si="85"/>
        <v>6</v>
      </c>
      <c r="U77" s="276">
        <f t="shared" si="86"/>
        <v>9</v>
      </c>
      <c r="V77" s="276">
        <f t="shared" si="87"/>
        <v>0</v>
      </c>
      <c r="W77" s="276">
        <f t="shared" si="88"/>
        <v>1939485574</v>
      </c>
      <c r="X77" s="276" t="str">
        <f t="shared" si="89"/>
        <v>和歌山</v>
      </c>
      <c r="AA77" s="403">
        <f t="shared" si="90"/>
        <v>0.4222222222222222</v>
      </c>
      <c r="AB77" s="404"/>
      <c r="AC77" s="418">
        <f t="shared" si="91"/>
        <v>87.75555555555556</v>
      </c>
      <c r="AD77" s="418"/>
      <c r="AE77" s="418">
        <f t="shared" si="92"/>
        <v>98.35555555555555</v>
      </c>
      <c r="AF77" s="418"/>
      <c r="AG77" s="422" t="str">
        <f t="shared" si="93"/>
        <v>杉本 博章</v>
      </c>
      <c r="AH77" s="422"/>
      <c r="AI77" s="423"/>
    </row>
    <row r="78" spans="1:35" ht="12" customHeight="1">
      <c r="A78" s="274">
        <v>6</v>
      </c>
      <c r="B78" s="375" t="str">
        <f t="shared" si="79"/>
        <v>滋賀</v>
      </c>
      <c r="C78" s="366" t="str">
        <f>'①（準備）選手登録'!D26</f>
        <v>SBC</v>
      </c>
      <c r="D78" s="317"/>
      <c r="E78" s="318"/>
      <c r="F78" s="202">
        <f aca="true" t="shared" si="99" ref="F78:N78">IF(COUNTBLANK(F12)+COUNTBLANK(F25)+COUNTBLANK(F38)+COUNTBLANK(F51)+COUNTBLANK(F64)=5,"",(COUNTIF(F12,"w")+COUNTIF(F25,"w")+COUNTIF(F38,"w")+COUNTIF(F51,"w")+COUNTIF(F64,"w")))</f>
        <v>4</v>
      </c>
      <c r="G78" s="200">
        <f t="shared" si="99"/>
        <v>3</v>
      </c>
      <c r="H78" s="200">
        <f t="shared" si="99"/>
        <v>1</v>
      </c>
      <c r="I78" s="200">
        <f t="shared" si="99"/>
        <v>0</v>
      </c>
      <c r="J78" s="200">
        <f t="shared" si="99"/>
        <v>2</v>
      </c>
      <c r="K78" s="383">
        <f t="shared" si="99"/>
      </c>
      <c r="L78" s="200">
        <f t="shared" si="99"/>
        <v>1</v>
      </c>
      <c r="M78" s="200">
        <f t="shared" si="99"/>
        <v>2</v>
      </c>
      <c r="N78" s="200">
        <f t="shared" si="99"/>
        <v>2</v>
      </c>
      <c r="O78" s="299">
        <f t="shared" si="95"/>
        <v>4</v>
      </c>
      <c r="P78" s="340">
        <f t="shared" si="81"/>
        <v>19</v>
      </c>
      <c r="Q78" s="200">
        <f t="shared" si="82"/>
        <v>26</v>
      </c>
      <c r="R78" s="341">
        <f t="shared" si="83"/>
        <v>3640</v>
      </c>
      <c r="S78" s="341">
        <f t="shared" si="84"/>
        <v>4385</v>
      </c>
      <c r="T78" s="303">
        <f t="shared" si="85"/>
        <v>7</v>
      </c>
      <c r="U78" s="276">
        <f t="shared" si="86"/>
        <v>9</v>
      </c>
      <c r="V78" s="276">
        <f t="shared" si="87"/>
        <v>0</v>
      </c>
      <c r="W78" s="276">
        <f t="shared" si="88"/>
        <v>1936395615</v>
      </c>
      <c r="X78" s="276" t="str">
        <f t="shared" si="89"/>
        <v>滋賀</v>
      </c>
      <c r="AA78" s="403">
        <f t="shared" si="90"/>
        <v>0.4222222222222222</v>
      </c>
      <c r="AB78" s="404"/>
      <c r="AC78" s="418">
        <f t="shared" si="91"/>
        <v>80.88888888888889</v>
      </c>
      <c r="AD78" s="418"/>
      <c r="AE78" s="418">
        <f t="shared" si="92"/>
        <v>97.44444444444444</v>
      </c>
      <c r="AF78" s="418"/>
      <c r="AG78" s="422" t="str">
        <f t="shared" si="93"/>
        <v>大橋 義治</v>
      </c>
      <c r="AH78" s="422"/>
      <c r="AI78" s="423"/>
    </row>
    <row r="79" spans="1:35" ht="12" customHeight="1">
      <c r="A79" s="274">
        <v>7</v>
      </c>
      <c r="B79" s="375" t="str">
        <f t="shared" si="79"/>
        <v>奈良</v>
      </c>
      <c r="C79" s="366" t="str">
        <f>'①（準備）選手登録'!D28</f>
        <v>NRC</v>
      </c>
      <c r="D79" s="317"/>
      <c r="E79" s="318"/>
      <c r="F79" s="202">
        <f aca="true" t="shared" si="100" ref="F79:N79">IF(COUNTBLANK(F13)+COUNTBLANK(F26)+COUNTBLANK(F39)+COUNTBLANK(F52)+COUNTBLANK(F65)=5,"",(COUNTIF(F13,"w")+COUNTIF(F26,"w")+COUNTIF(F39,"w")+COUNTIF(F52,"w")+COUNTIF(F65,"w")))</f>
        <v>0</v>
      </c>
      <c r="G79" s="200">
        <f t="shared" si="100"/>
        <v>2</v>
      </c>
      <c r="H79" s="200">
        <f t="shared" si="100"/>
        <v>1</v>
      </c>
      <c r="I79" s="200">
        <f t="shared" si="100"/>
        <v>0</v>
      </c>
      <c r="J79" s="200">
        <f t="shared" si="100"/>
        <v>2</v>
      </c>
      <c r="K79" s="200">
        <f t="shared" si="100"/>
        <v>4</v>
      </c>
      <c r="L79" s="383">
        <f t="shared" si="100"/>
      </c>
      <c r="M79" s="200">
        <f t="shared" si="100"/>
        <v>2</v>
      </c>
      <c r="N79" s="200">
        <f t="shared" si="100"/>
        <v>2</v>
      </c>
      <c r="O79" s="299">
        <f t="shared" si="95"/>
        <v>1</v>
      </c>
      <c r="P79" s="340">
        <f t="shared" si="81"/>
        <v>14</v>
      </c>
      <c r="Q79" s="200">
        <f t="shared" si="82"/>
        <v>31</v>
      </c>
      <c r="R79" s="341">
        <f t="shared" si="83"/>
        <v>3452</v>
      </c>
      <c r="S79" s="341">
        <f t="shared" si="84"/>
        <v>4842</v>
      </c>
      <c r="T79" s="303">
        <f t="shared" si="85"/>
        <v>10</v>
      </c>
      <c r="U79" s="276">
        <f t="shared" si="86"/>
        <v>9</v>
      </c>
      <c r="V79" s="276">
        <f t="shared" si="87"/>
        <v>0</v>
      </c>
      <c r="W79" s="276">
        <f t="shared" si="88"/>
        <v>1434515158</v>
      </c>
      <c r="X79" s="276" t="str">
        <f t="shared" si="89"/>
        <v>奈良</v>
      </c>
      <c r="AA79" s="403">
        <f t="shared" si="90"/>
        <v>0.3111111111111111</v>
      </c>
      <c r="AB79" s="404"/>
      <c r="AC79" s="418">
        <f t="shared" si="91"/>
        <v>76.71111111111111</v>
      </c>
      <c r="AD79" s="418"/>
      <c r="AE79" s="418">
        <f t="shared" si="92"/>
        <v>107.6</v>
      </c>
      <c r="AF79" s="418"/>
      <c r="AG79" s="422" t="str">
        <f t="shared" si="93"/>
        <v>山田 晃司</v>
      </c>
      <c r="AH79" s="422"/>
      <c r="AI79" s="423"/>
    </row>
    <row r="80" spans="1:35" ht="12" customHeight="1">
      <c r="A80" s="274">
        <v>8</v>
      </c>
      <c r="B80" s="375" t="str">
        <f t="shared" si="79"/>
        <v>三重</v>
      </c>
      <c r="C80" s="366" t="str">
        <f>'①（準備）選手登録'!D30</f>
        <v>MRC</v>
      </c>
      <c r="D80" s="317"/>
      <c r="E80" s="318"/>
      <c r="F80" s="202">
        <f aca="true" t="shared" si="101" ref="F80:N80">IF(COUNTBLANK(F14)+COUNTBLANK(F27)+COUNTBLANK(F40)+COUNTBLANK(F53)+COUNTBLANK(F66)=5,"",(COUNTIF(F14,"w")+COUNTIF(F27,"w")+COUNTIF(F40,"w")+COUNTIF(F53,"w")+COUNTIF(F66,"w")))</f>
        <v>2</v>
      </c>
      <c r="G80" s="200">
        <f t="shared" si="101"/>
        <v>4</v>
      </c>
      <c r="H80" s="200">
        <f t="shared" si="101"/>
        <v>2</v>
      </c>
      <c r="I80" s="200">
        <f t="shared" si="101"/>
        <v>2</v>
      </c>
      <c r="J80" s="200">
        <f t="shared" si="101"/>
        <v>4</v>
      </c>
      <c r="K80" s="200">
        <f t="shared" si="101"/>
        <v>3</v>
      </c>
      <c r="L80" s="200">
        <f t="shared" si="101"/>
        <v>3</v>
      </c>
      <c r="M80" s="383">
        <f t="shared" si="101"/>
      </c>
      <c r="N80" s="200">
        <f t="shared" si="101"/>
        <v>4</v>
      </c>
      <c r="O80" s="299">
        <f t="shared" si="95"/>
        <v>3</v>
      </c>
      <c r="P80" s="340">
        <f t="shared" si="81"/>
        <v>27</v>
      </c>
      <c r="Q80" s="200">
        <f t="shared" si="82"/>
        <v>18</v>
      </c>
      <c r="R80" s="341">
        <f t="shared" si="83"/>
        <v>4428</v>
      </c>
      <c r="S80" s="341">
        <f t="shared" si="84"/>
        <v>3461</v>
      </c>
      <c r="T80" s="303">
        <f t="shared" si="85"/>
        <v>2</v>
      </c>
      <c r="U80" s="276">
        <f t="shared" si="86"/>
        <v>9</v>
      </c>
      <c r="V80" s="276">
        <f t="shared" si="87"/>
        <v>0</v>
      </c>
      <c r="W80" s="276">
        <f t="shared" si="88"/>
        <v>2744276539</v>
      </c>
      <c r="X80" s="276" t="str">
        <f t="shared" si="89"/>
        <v>三重</v>
      </c>
      <c r="AA80" s="403">
        <f t="shared" si="90"/>
        <v>0.6</v>
      </c>
      <c r="AB80" s="404"/>
      <c r="AC80" s="418">
        <f t="shared" si="91"/>
        <v>98.4</v>
      </c>
      <c r="AD80" s="418"/>
      <c r="AE80" s="418">
        <f t="shared" si="92"/>
        <v>76.91111111111111</v>
      </c>
      <c r="AF80" s="418"/>
      <c r="AG80" s="422" t="str">
        <f t="shared" si="93"/>
        <v>杉本 諭</v>
      </c>
      <c r="AH80" s="422"/>
      <c r="AI80" s="423"/>
    </row>
    <row r="81" spans="1:35" ht="12" customHeight="1">
      <c r="A81" s="274">
        <v>9</v>
      </c>
      <c r="B81" s="375" t="str">
        <f t="shared" si="79"/>
        <v>岐阜</v>
      </c>
      <c r="C81" s="366" t="str">
        <f>'①（準備）選手登録'!D32</f>
        <v>GPBC</v>
      </c>
      <c r="D81" s="317"/>
      <c r="E81" s="318"/>
      <c r="F81" s="202">
        <f aca="true" t="shared" si="102" ref="F81:N82">IF(COUNTBLANK(F15)+COUNTBLANK(F28)+COUNTBLANK(F41)+COUNTBLANK(F54)+COUNTBLANK(F67)=5,"",(COUNTIF(F15,"w")+COUNTIF(F28,"w")+COUNTIF(F41,"w")+COUNTIF(F54,"w")+COUNTIF(F67,"w")))</f>
        <v>1</v>
      </c>
      <c r="G81" s="200">
        <f t="shared" si="102"/>
        <v>2</v>
      </c>
      <c r="H81" s="200">
        <f t="shared" si="102"/>
        <v>1</v>
      </c>
      <c r="I81" s="200">
        <f t="shared" si="102"/>
        <v>1</v>
      </c>
      <c r="J81" s="200">
        <f t="shared" si="102"/>
        <v>2</v>
      </c>
      <c r="K81" s="200">
        <f t="shared" si="102"/>
        <v>3</v>
      </c>
      <c r="L81" s="200">
        <f t="shared" si="102"/>
        <v>3</v>
      </c>
      <c r="M81" s="200">
        <f t="shared" si="102"/>
        <v>1</v>
      </c>
      <c r="N81" s="383">
        <f t="shared" si="102"/>
      </c>
      <c r="O81" s="299">
        <f t="shared" si="95"/>
        <v>3</v>
      </c>
      <c r="P81" s="340">
        <f t="shared" si="81"/>
        <v>17</v>
      </c>
      <c r="Q81" s="200">
        <f t="shared" si="82"/>
        <v>28</v>
      </c>
      <c r="R81" s="341">
        <f t="shared" si="83"/>
        <v>3525</v>
      </c>
      <c r="S81" s="341">
        <f t="shared" si="84"/>
        <v>4453</v>
      </c>
      <c r="T81" s="303">
        <f t="shared" si="85"/>
        <v>9</v>
      </c>
      <c r="U81" s="276">
        <f t="shared" si="86"/>
        <v>9</v>
      </c>
      <c r="V81" s="276">
        <f t="shared" si="87"/>
        <v>0</v>
      </c>
      <c r="W81" s="276">
        <f t="shared" si="88"/>
        <v>1735245547</v>
      </c>
      <c r="X81" s="276" t="str">
        <f t="shared" si="89"/>
        <v>岐阜</v>
      </c>
      <c r="AA81" s="403">
        <f t="shared" si="90"/>
        <v>0.37777777777777777</v>
      </c>
      <c r="AB81" s="404"/>
      <c r="AC81" s="418">
        <f t="shared" si="91"/>
        <v>78.33333333333333</v>
      </c>
      <c r="AD81" s="418"/>
      <c r="AE81" s="418">
        <f t="shared" si="92"/>
        <v>98.95555555555555</v>
      </c>
      <c r="AF81" s="418"/>
      <c r="AG81" s="422" t="str">
        <f t="shared" si="93"/>
        <v>徳永 修児</v>
      </c>
      <c r="AH81" s="422"/>
      <c r="AI81" s="423"/>
    </row>
    <row r="82" spans="1:35" ht="12.75" customHeight="1">
      <c r="A82" s="274">
        <v>10</v>
      </c>
      <c r="B82" s="368" t="str">
        <f t="shared" si="79"/>
        <v>大阪B</v>
      </c>
      <c r="C82" s="367" t="str">
        <f>'①（準備）選手登録'!D34</f>
        <v>ORC-B</v>
      </c>
      <c r="D82" s="323"/>
      <c r="E82" s="324"/>
      <c r="F82" s="202">
        <f t="shared" si="102"/>
        <v>2</v>
      </c>
      <c r="G82" s="202">
        <f t="shared" si="102"/>
        <v>0</v>
      </c>
      <c r="H82" s="202">
        <f t="shared" si="102"/>
        <v>4</v>
      </c>
      <c r="I82" s="202">
        <f t="shared" si="102"/>
        <v>0</v>
      </c>
      <c r="J82" s="202">
        <f t="shared" si="102"/>
        <v>2</v>
      </c>
      <c r="K82" s="202">
        <f t="shared" si="102"/>
        <v>1</v>
      </c>
      <c r="L82" s="202">
        <f t="shared" si="102"/>
        <v>4</v>
      </c>
      <c r="M82" s="202">
        <f t="shared" si="102"/>
        <v>2</v>
      </c>
      <c r="N82" s="202">
        <f t="shared" si="102"/>
        <v>2</v>
      </c>
      <c r="O82" s="299">
        <f t="shared" si="95"/>
      </c>
      <c r="P82" s="346">
        <f t="shared" si="81"/>
        <v>17</v>
      </c>
      <c r="Q82" s="326">
        <f t="shared" si="82"/>
        <v>28</v>
      </c>
      <c r="R82" s="347">
        <f t="shared" si="83"/>
        <v>3747</v>
      </c>
      <c r="S82" s="347">
        <f t="shared" si="84"/>
        <v>4472</v>
      </c>
      <c r="T82" s="314">
        <f t="shared" si="85"/>
        <v>8</v>
      </c>
      <c r="U82" s="348">
        <f t="shared" si="86"/>
        <v>9</v>
      </c>
      <c r="V82" s="348">
        <f t="shared" si="87"/>
        <v>0</v>
      </c>
      <c r="W82" s="348">
        <f t="shared" si="88"/>
        <v>1737465528</v>
      </c>
      <c r="X82" s="348" t="str">
        <f t="shared" si="89"/>
        <v>大阪B</v>
      </c>
      <c r="Y82" s="348"/>
      <c r="Z82" s="348"/>
      <c r="AA82" s="408">
        <f t="shared" si="90"/>
        <v>0.37777777777777777</v>
      </c>
      <c r="AB82" s="409"/>
      <c r="AC82" s="424">
        <f t="shared" si="91"/>
        <v>83.26666666666667</v>
      </c>
      <c r="AD82" s="424"/>
      <c r="AE82" s="424">
        <f t="shared" si="92"/>
        <v>99.37777777777778</v>
      </c>
      <c r="AF82" s="424"/>
      <c r="AG82" s="425" t="str">
        <f t="shared" si="93"/>
        <v>小森 雅昭</v>
      </c>
      <c r="AH82" s="425"/>
      <c r="AI82" s="426"/>
    </row>
    <row r="83" spans="21:22" ht="12" customHeight="1">
      <c r="U83" s="276">
        <f>SUMIF(T73:T82,1,T73:T82)</f>
        <v>1</v>
      </c>
      <c r="V83" s="276" t="s">
        <v>249</v>
      </c>
    </row>
  </sheetData>
  <sheetProtection/>
  <mergeCells count="49">
    <mergeCell ref="AC82:AD82"/>
    <mergeCell ref="AE73:AF73"/>
    <mergeCell ref="AE74:AF74"/>
    <mergeCell ref="AE75:AF75"/>
    <mergeCell ref="AE76:AF76"/>
    <mergeCell ref="AE77:AF77"/>
    <mergeCell ref="AC74:AD74"/>
    <mergeCell ref="AC76:AD76"/>
    <mergeCell ref="AC77:AD77"/>
    <mergeCell ref="AG80:AI80"/>
    <mergeCell ref="AC78:AD78"/>
    <mergeCell ref="AC79:AD79"/>
    <mergeCell ref="AE80:AF80"/>
    <mergeCell ref="AC80:AD80"/>
    <mergeCell ref="AC81:AD81"/>
    <mergeCell ref="AG76:AI76"/>
    <mergeCell ref="AG77:AI77"/>
    <mergeCell ref="AG78:AI78"/>
    <mergeCell ref="AE78:AF78"/>
    <mergeCell ref="AE79:AF79"/>
    <mergeCell ref="AE82:AF82"/>
    <mergeCell ref="AE81:AF81"/>
    <mergeCell ref="AG81:AI81"/>
    <mergeCell ref="AG82:AI82"/>
    <mergeCell ref="AG79:AI79"/>
    <mergeCell ref="AA75:AB75"/>
    <mergeCell ref="B72:E72"/>
    <mergeCell ref="AC75:AD75"/>
    <mergeCell ref="AC73:AD73"/>
    <mergeCell ref="AG73:AI73"/>
    <mergeCell ref="AG74:AI74"/>
    <mergeCell ref="AG75:AI75"/>
    <mergeCell ref="A2:AM2"/>
    <mergeCell ref="AA3:AE3"/>
    <mergeCell ref="C71:D71"/>
    <mergeCell ref="AA6:AL6"/>
    <mergeCell ref="AA19:AL19"/>
    <mergeCell ref="AA32:AL32"/>
    <mergeCell ref="AA58:AL58"/>
    <mergeCell ref="AA76:AB76"/>
    <mergeCell ref="AA45:AL45"/>
    <mergeCell ref="AA82:AB82"/>
    <mergeCell ref="AA77:AB77"/>
    <mergeCell ref="AA78:AB78"/>
    <mergeCell ref="AA79:AB79"/>
    <mergeCell ref="AA80:AB80"/>
    <mergeCell ref="AA81:AB81"/>
    <mergeCell ref="AA73:AB73"/>
    <mergeCell ref="AA74:AB74"/>
  </mergeCells>
  <dataValidations count="1">
    <dataValidation allowBlank="1" showInputMessage="1" showErrorMessage="1" sqref="AR46:AR55 AR59:AR68 AB20 AB33 AB46 AB59 AR7:AR16 AR20:AR29 AR33:AR42 F1:W1 F3:M65536 E73:E65536 C6:D6 E6:E17 C19:D19 C32:D32 C71 C45:D45 D5 E19:E30 E32:E43 E45:E56 C58:D58 E58:E71 S3:W65536 N4:R65536"/>
  </dataValidations>
  <printOptions horizontalCentered="1"/>
  <pageMargins left="0.7874015748031497" right="0.3937007874015748" top="0.5905511811023623" bottom="0.5905511811023623" header="0.5118110236220472" footer="0.5118110236220472"/>
  <pageSetup fitToHeight="1" fitToWidth="1" orientation="portrait" paperSize="9" scale="69" r:id="rId1"/>
  <rowBreaks count="1" manualBreakCount="1">
    <brk id="43" max="3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B120"/>
  <sheetViews>
    <sheetView view="pageBreakPreview" zoomScaleSheetLayoutView="100" zoomScalePageLayoutView="0" workbookViewId="0" topLeftCell="B25">
      <selection activeCell="AQ4" sqref="AQ4"/>
    </sheetView>
  </sheetViews>
  <sheetFormatPr defaultColWidth="6.625" defaultRowHeight="13.5"/>
  <cols>
    <col min="1" max="1" width="2.875" style="274" customWidth="1" collapsed="1"/>
    <col min="2" max="2" width="6.375" style="30" customWidth="1" collapsed="1"/>
    <col min="3" max="4" width="3.50390625" style="30" customWidth="1"/>
    <col min="5" max="5" width="3.50390625" style="274" customWidth="1"/>
    <col min="6" max="15" width="3.50390625" style="30" customWidth="1"/>
    <col min="16" max="17" width="4.375" style="30" customWidth="1"/>
    <col min="18" max="18" width="5.50390625" style="274" customWidth="1"/>
    <col min="19" max="19" width="4.375" style="274" hidden="1" customWidth="1"/>
    <col min="20" max="20" width="3.25390625" style="30" customWidth="1"/>
    <col min="21" max="21" width="6.00390625" style="30" customWidth="1" collapsed="1"/>
    <col min="22" max="23" width="3.375" style="274" hidden="1" customWidth="1"/>
    <col min="24" max="24" width="11.875" style="276" hidden="1" customWidth="1"/>
    <col min="25" max="25" width="6.625" style="276" hidden="1" customWidth="1"/>
    <col min="26" max="26" width="7.875" style="276" hidden="1" customWidth="1"/>
    <col min="27" max="27" width="10.875" style="276" hidden="1" customWidth="1"/>
    <col min="28" max="28" width="2.875" style="274" customWidth="1"/>
    <col min="29" max="29" width="6.375" style="30" customWidth="1"/>
    <col min="30" max="31" width="3.50390625" style="30" customWidth="1"/>
    <col min="32" max="32" width="3.50390625" style="274" customWidth="1"/>
    <col min="33" max="42" width="3.50390625" style="30" customWidth="1"/>
    <col min="43" max="44" width="4.375" style="30" customWidth="1"/>
    <col min="45" max="45" width="5.50390625" style="274" customWidth="1"/>
    <col min="46" max="46" width="4.375" style="274" hidden="1" customWidth="1"/>
    <col min="47" max="47" width="3.25390625" style="30" customWidth="1"/>
    <col min="48" max="48" width="6.00390625" style="30" customWidth="1"/>
    <col min="49" max="50" width="3.375" style="274" hidden="1" customWidth="1"/>
    <col min="51" max="51" width="11.875" style="276" hidden="1" customWidth="1"/>
    <col min="52" max="52" width="6.625" style="276" hidden="1" customWidth="1"/>
    <col min="53" max="53" width="7.875" style="276" hidden="1" customWidth="1"/>
    <col min="54" max="54" width="10.875" style="276" hidden="1" customWidth="1"/>
    <col min="55" max="16384" width="6.625" style="274" customWidth="1"/>
  </cols>
  <sheetData>
    <row r="1" spans="2:29" ht="12" customHeight="1">
      <c r="B1" s="275" t="s">
        <v>226</v>
      </c>
      <c r="AC1" s="275"/>
    </row>
    <row r="2" spans="1:54" ht="17.25" customHeight="1">
      <c r="A2" s="379" t="str">
        <f>'①（準備）選手登録'!B12</f>
        <v>第9回 関西･東海 対抗戦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  <c r="T2" s="379"/>
      <c r="U2" s="379"/>
      <c r="V2" s="379"/>
      <c r="W2" s="379"/>
      <c r="X2" s="379"/>
      <c r="Y2" s="379"/>
      <c r="Z2" s="379"/>
      <c r="AA2" s="379"/>
      <c r="AB2" s="379"/>
      <c r="AC2" s="379"/>
      <c r="AD2" s="379"/>
      <c r="AE2" s="379"/>
      <c r="AF2" s="379"/>
      <c r="AG2" s="379"/>
      <c r="AH2" s="379"/>
      <c r="AI2" s="379"/>
      <c r="AJ2" s="379"/>
      <c r="AK2" s="379"/>
      <c r="AL2" s="379"/>
      <c r="AM2" s="379"/>
      <c r="AN2" s="379"/>
      <c r="AO2" s="379"/>
      <c r="AP2" s="379"/>
      <c r="AQ2" s="379"/>
      <c r="AR2" s="379"/>
      <c r="AS2" s="379"/>
      <c r="AT2" s="379"/>
      <c r="AU2" s="379"/>
      <c r="AV2" s="379"/>
      <c r="AW2" s="379"/>
      <c r="AX2" s="379"/>
      <c r="AY2" s="379"/>
      <c r="AZ2" s="379"/>
      <c r="BA2" s="379"/>
      <c r="BB2" s="379"/>
    </row>
    <row r="3" spans="2:46" ht="14.25" customHeight="1">
      <c r="B3" s="275"/>
      <c r="H3" s="218"/>
      <c r="I3" s="277"/>
      <c r="AC3" s="275"/>
      <c r="AD3" s="413"/>
      <c r="AE3" s="413"/>
      <c r="AF3" s="413"/>
      <c r="AG3" s="413"/>
      <c r="AH3" s="413"/>
      <c r="AI3" s="413">
        <f>'①（準備）選手登録'!O13</f>
        <v>42484</v>
      </c>
      <c r="AJ3" s="413"/>
      <c r="AK3" s="413"/>
      <c r="AL3" s="413"/>
      <c r="AM3" s="413"/>
      <c r="AN3" s="278"/>
      <c r="AO3" s="277"/>
      <c r="AP3" s="279" t="s">
        <v>227</v>
      </c>
      <c r="AQ3" s="278" t="s">
        <v>392</v>
      </c>
      <c r="AR3" s="278"/>
      <c r="AS3" s="278"/>
      <c r="AT3" s="218"/>
    </row>
    <row r="4" spans="2:29" ht="12" customHeight="1">
      <c r="B4" s="275"/>
      <c r="AC4" s="275"/>
    </row>
    <row r="5" spans="3:42" ht="12.75" customHeight="1" hidden="1">
      <c r="C5" s="136">
        <v>1</v>
      </c>
      <c r="D5" s="274"/>
      <c r="F5" s="30">
        <v>1</v>
      </c>
      <c r="G5" s="30">
        <v>2</v>
      </c>
      <c r="H5" s="30">
        <v>3</v>
      </c>
      <c r="I5" s="30">
        <v>4</v>
      </c>
      <c r="J5" s="30">
        <v>5</v>
      </c>
      <c r="K5" s="30">
        <v>6</v>
      </c>
      <c r="L5" s="30">
        <v>7</v>
      </c>
      <c r="M5" s="30">
        <v>8</v>
      </c>
      <c r="N5" s="30">
        <v>9</v>
      </c>
      <c r="O5" s="30">
        <v>10</v>
      </c>
      <c r="AD5" s="136">
        <f>C13+4</f>
        <v>6</v>
      </c>
      <c r="AE5" s="274"/>
      <c r="AG5" s="30">
        <v>1</v>
      </c>
      <c r="AH5" s="30">
        <v>2</v>
      </c>
      <c r="AI5" s="30">
        <v>3</v>
      </c>
      <c r="AJ5" s="30">
        <v>4</v>
      </c>
      <c r="AK5" s="30">
        <v>5</v>
      </c>
      <c r="AL5" s="30">
        <v>6</v>
      </c>
      <c r="AM5" s="30">
        <v>7</v>
      </c>
      <c r="AN5" s="30">
        <v>8</v>
      </c>
      <c r="AO5" s="30">
        <v>9</v>
      </c>
      <c r="AP5" s="30">
        <v>10</v>
      </c>
    </row>
    <row r="6" spans="2:51" ht="50.25" customHeight="1">
      <c r="B6" s="280" t="s">
        <v>229</v>
      </c>
      <c r="C6" s="281" t="s">
        <v>74</v>
      </c>
      <c r="D6" s="282"/>
      <c r="E6" s="283"/>
      <c r="F6" s="284" t="str">
        <f>B7</f>
        <v>兵庫</v>
      </c>
      <c r="G6" s="285" t="str">
        <f>B15</f>
        <v>愛知</v>
      </c>
      <c r="H6" s="285" t="str">
        <f>B23</f>
        <v>京都</v>
      </c>
      <c r="I6" s="285" t="str">
        <f>B31</f>
        <v>大阪A</v>
      </c>
      <c r="J6" s="285" t="str">
        <f>B39</f>
        <v>和歌山</v>
      </c>
      <c r="K6" s="285" t="str">
        <f>AC7</f>
        <v>滋賀</v>
      </c>
      <c r="L6" s="285" t="str">
        <f>AC15</f>
        <v>奈良</v>
      </c>
      <c r="M6" s="285" t="str">
        <f>AC23</f>
        <v>三重</v>
      </c>
      <c r="N6" s="285" t="str">
        <f>AC31</f>
        <v>岐阜</v>
      </c>
      <c r="O6" s="285" t="str">
        <f>AC39</f>
        <v>大阪B</v>
      </c>
      <c r="P6" s="286" t="s">
        <v>230</v>
      </c>
      <c r="Q6" s="287" t="s">
        <v>231</v>
      </c>
      <c r="R6" s="287" t="s">
        <v>232</v>
      </c>
      <c r="S6" s="287" t="s">
        <v>233</v>
      </c>
      <c r="T6" s="288" t="s">
        <v>234</v>
      </c>
      <c r="U6" s="289" t="s">
        <v>45</v>
      </c>
      <c r="V6" s="290" t="s">
        <v>235</v>
      </c>
      <c r="W6" s="290" t="s">
        <v>236</v>
      </c>
      <c r="X6" s="291" t="s">
        <v>237</v>
      </c>
      <c r="AC6" s="280" t="s">
        <v>229</v>
      </c>
      <c r="AD6" s="281" t="s">
        <v>74</v>
      </c>
      <c r="AE6" s="282"/>
      <c r="AF6" s="283"/>
      <c r="AG6" s="284" t="str">
        <f aca="true" t="shared" si="0" ref="AG6:AO6">F38</f>
        <v>兵庫</v>
      </c>
      <c r="AH6" s="285" t="str">
        <f t="shared" si="0"/>
        <v>愛知</v>
      </c>
      <c r="AI6" s="285" t="str">
        <f t="shared" si="0"/>
        <v>京都</v>
      </c>
      <c r="AJ6" s="285" t="str">
        <f t="shared" si="0"/>
        <v>大阪A</v>
      </c>
      <c r="AK6" s="285" t="str">
        <f t="shared" si="0"/>
        <v>和歌山</v>
      </c>
      <c r="AL6" s="285" t="str">
        <f t="shared" si="0"/>
        <v>滋賀</v>
      </c>
      <c r="AM6" s="285" t="str">
        <f t="shared" si="0"/>
        <v>奈良</v>
      </c>
      <c r="AN6" s="285" t="str">
        <f t="shared" si="0"/>
        <v>三重</v>
      </c>
      <c r="AO6" s="285" t="str">
        <f t="shared" si="0"/>
        <v>岐阜</v>
      </c>
      <c r="AP6" s="285" t="str">
        <f>O6</f>
        <v>大阪B</v>
      </c>
      <c r="AQ6" s="286" t="s">
        <v>230</v>
      </c>
      <c r="AR6" s="287" t="s">
        <v>231</v>
      </c>
      <c r="AS6" s="287" t="s">
        <v>232</v>
      </c>
      <c r="AT6" s="287" t="s">
        <v>233</v>
      </c>
      <c r="AU6" s="288" t="s">
        <v>234</v>
      </c>
      <c r="AV6" s="289" t="s">
        <v>45</v>
      </c>
      <c r="AW6" s="290" t="s">
        <v>235</v>
      </c>
      <c r="AX6" s="290" t="s">
        <v>236</v>
      </c>
      <c r="AY6" s="291" t="s">
        <v>237</v>
      </c>
    </row>
    <row r="7" spans="1:54" ht="12.75" customHeight="1">
      <c r="A7" s="274">
        <v>1</v>
      </c>
      <c r="B7" s="292" t="str">
        <f>'ブロック表'!C4</f>
        <v>兵庫</v>
      </c>
      <c r="C7" s="293" t="str">
        <f>IF(B7="","",VLOOKUP(B7,'ブロック表'!$C$4:$N$15,3,FALSE))</f>
        <v>高木 俊行</v>
      </c>
      <c r="D7" s="294"/>
      <c r="E7" s="295"/>
      <c r="F7" s="296"/>
      <c r="G7" s="297">
        <f>'★(結果)④番手別＆総合成績'!G7</f>
        <v>77</v>
      </c>
      <c r="H7" s="297" t="str">
        <f>'★(結果)④番手別＆総合成績'!H7</f>
        <v>W</v>
      </c>
      <c r="I7" s="297" t="str">
        <f>'★(結果)④番手別＆総合成績'!I7</f>
        <v>W</v>
      </c>
      <c r="J7" s="297" t="str">
        <f>'★(結果)④番手別＆総合成績'!J7</f>
        <v>W</v>
      </c>
      <c r="K7" s="297" t="str">
        <f>'★(結果)④番手別＆総合成績'!K7</f>
        <v>W</v>
      </c>
      <c r="L7" s="297" t="str">
        <f>'★(結果)④番手別＆総合成績'!L7</f>
        <v>W</v>
      </c>
      <c r="M7" s="297" t="str">
        <f>'★(結果)④番手別＆総合成績'!M7</f>
        <v>W</v>
      </c>
      <c r="N7" s="297">
        <f>'★(結果)④番手別＆総合成績'!N7</f>
        <v>36</v>
      </c>
      <c r="O7" s="297" t="str">
        <f>'★(結果)④番手別＆総合成績'!O7</f>
        <v>W</v>
      </c>
      <c r="P7" s="298">
        <f>IF(COUNTBLANK(F7:O7)=10,"",COUNTIF(F7:O7,"W"))</f>
        <v>7</v>
      </c>
      <c r="Q7" s="299">
        <f>IF(COUNTBLANK(F7:O7)=10,"",COUNT(F7:O7))</f>
        <v>2</v>
      </c>
      <c r="R7" s="300">
        <f>IF(COUNTBLANK(F7:O7)=10,"",SUM(F7:O7)+(P7*120))</f>
        <v>953</v>
      </c>
      <c r="S7" s="300"/>
      <c r="T7" s="301">
        <f>IF(COUNTBLANK(F7:O7)=10,"",IF(P7+Q7=0,"",RANK(X7,X7:X11,0)))</f>
        <v>1</v>
      </c>
      <c r="U7" s="302">
        <f>VLOOKUP(C7,'★(結果)④番手別＆総合成績'!$C$7:$AM$68,37,FALSE)</f>
      </c>
      <c r="V7" s="276">
        <f>COUNTA($F$6:$O$6)-1-W7</f>
        <v>9</v>
      </c>
      <c r="W7" s="276">
        <f>COUNTBLANK(F7:O7)-1</f>
        <v>0</v>
      </c>
      <c r="X7" s="276">
        <f>IF(P7="",0,P7*100000000+R7*10000-S7)</f>
        <v>709530000</v>
      </c>
      <c r="Y7" s="276">
        <f>IF(X7=0,"",IF(X7=MAX($X$7,$X$8,$X$9,$X$10,$X$11),1,""))</f>
        <v>1</v>
      </c>
      <c r="Z7" s="276" t="str">
        <f>Y7&amp;B7</f>
        <v>1兵庫</v>
      </c>
      <c r="AA7" s="276" t="str">
        <f>C7</f>
        <v>高木 俊行</v>
      </c>
      <c r="AB7" s="274">
        <v>1</v>
      </c>
      <c r="AC7" s="292" t="str">
        <f>'ブロック表'!C9</f>
        <v>滋賀</v>
      </c>
      <c r="AD7" s="293" t="str">
        <f>IF(AC7="","",VLOOKUP(AC7,'ブロック表'!$C$4:$N$15,3,FALSE))</f>
        <v>酒井 美希</v>
      </c>
      <c r="AE7" s="294"/>
      <c r="AF7" s="295"/>
      <c r="AG7" s="296">
        <f>'★(結果)④番手別＆総合成績'!F12</f>
        <v>6</v>
      </c>
      <c r="AH7" s="297" t="str">
        <f>'★(結果)④番手別＆総合成績'!G12</f>
        <v>W</v>
      </c>
      <c r="AI7" s="297">
        <f>'★(結果)④番手別＆総合成績'!H12</f>
        <v>48</v>
      </c>
      <c r="AJ7" s="297">
        <f>'★(結果)④番手別＆総合成績'!I12</f>
        <v>40</v>
      </c>
      <c r="AK7" s="297">
        <f>'★(結果)④番手別＆総合成績'!J12</f>
        <v>107</v>
      </c>
      <c r="AL7" s="297"/>
      <c r="AM7" s="297">
        <f>'★(結果)④番手別＆総合成績'!L12</f>
        <v>92</v>
      </c>
      <c r="AN7" s="297">
        <f>'★(結果)④番手別＆総合成績'!M12</f>
        <v>51</v>
      </c>
      <c r="AO7" s="297">
        <f>'★(結果)④番手別＆総合成績'!N12</f>
        <v>23</v>
      </c>
      <c r="AP7" s="297" t="str">
        <f>'★(結果)④番手別＆総合成績'!O12</f>
        <v>W</v>
      </c>
      <c r="AQ7" s="298">
        <f>IF(COUNTBLANK(AG7:AP7)=10,"",COUNTIF(AG7:AP7,"W"))</f>
        <v>2</v>
      </c>
      <c r="AR7" s="299">
        <f>IF(COUNTBLANK(AG7:AP7)=10,"",COUNT(AG7:AP7))</f>
        <v>7</v>
      </c>
      <c r="AS7" s="300">
        <f>IF(COUNTBLANK(AG7:AP7)=10,"",SUM(AG7:AP7)+(AQ7*120))</f>
        <v>607</v>
      </c>
      <c r="AT7" s="300"/>
      <c r="AU7" s="301">
        <f>IF(COUNTBLANK(AG7:AP7)=10,"",IF(AQ7+AR7=0,"",RANK(AY7,AY7:AY11,0)))</f>
        <v>5</v>
      </c>
      <c r="AV7" s="302">
        <f>VLOOKUP(AD7,'★(結果)④番手別＆総合成績'!$C$7:$AM$68,37,FALSE)</f>
      </c>
      <c r="AW7" s="276">
        <f>COUNTA($F$6:$O$6)-1-AX7</f>
        <v>9</v>
      </c>
      <c r="AX7" s="276">
        <f>COUNTBLANK(AG7:AP7)-1</f>
        <v>0</v>
      </c>
      <c r="AY7" s="276">
        <f>IF(AQ7="",0,AQ7*100000000+AS7*10000-AT7)</f>
        <v>206070000</v>
      </c>
      <c r="AZ7" s="276">
        <f>IF(AY7=0,"",IF(AY7=MAX($AY$7,$AY$8,$AY$9,$AY$10,$AY$11),1,""))</f>
      </c>
      <c r="BA7" s="276" t="str">
        <f>AZ7&amp;AC7</f>
        <v>滋賀</v>
      </c>
      <c r="BB7" s="276" t="str">
        <f>AD7</f>
        <v>酒井 美希</v>
      </c>
    </row>
    <row r="8" spans="1:54" ht="12" customHeight="1">
      <c r="A8" s="274">
        <v>2</v>
      </c>
      <c r="B8" s="292" t="str">
        <f>B7</f>
        <v>兵庫</v>
      </c>
      <c r="C8" s="293" t="str">
        <f>IF(B8="","",VLOOKUP(B8,'ブロック表'!$C$4:$N$15,5,FALSE))</f>
        <v>堂園 雅也</v>
      </c>
      <c r="D8" s="294"/>
      <c r="E8" s="295"/>
      <c r="F8" s="296"/>
      <c r="G8" s="297" t="str">
        <f>'★(結果)④番手別＆総合成績'!G20</f>
        <v>W</v>
      </c>
      <c r="H8" s="297">
        <f>'★(結果)④番手別＆総合成績'!H20</f>
        <v>60</v>
      </c>
      <c r="I8" s="297" t="str">
        <f>'★(結果)④番手別＆総合成績'!I20</f>
        <v>W</v>
      </c>
      <c r="J8" s="297" t="str">
        <f>'★(結果)④番手別＆総合成績'!J20</f>
        <v>W</v>
      </c>
      <c r="K8" s="297">
        <f>'★(結果)④番手別＆総合成績'!K20</f>
        <v>17</v>
      </c>
      <c r="L8" s="297" t="str">
        <f>'★(結果)④番手別＆総合成績'!L20</f>
        <v>W</v>
      </c>
      <c r="M8" s="297" t="str">
        <f>'★(結果)④番手別＆総合成績'!M20</f>
        <v>W</v>
      </c>
      <c r="N8" s="297" t="str">
        <f>'★(結果)④番手別＆総合成績'!N20</f>
        <v>W</v>
      </c>
      <c r="O8" s="297" t="str">
        <f>'★(結果)④番手別＆総合成績'!O20</f>
        <v>W</v>
      </c>
      <c r="P8" s="298">
        <f>IF(COUNTBLANK(F8:O8)=10,"",COUNTIF(F8:O8,"W"))</f>
        <v>7</v>
      </c>
      <c r="Q8" s="299">
        <f>IF(COUNTBLANK(F8:O8)=10,"",COUNT(F8:O8))</f>
        <v>2</v>
      </c>
      <c r="R8" s="300">
        <f>IF(COUNTBLANK(F8:O8)=10,"",SUM(F8:O8)+(P8*120))</f>
        <v>917</v>
      </c>
      <c r="S8" s="300"/>
      <c r="T8" s="301">
        <f>IF(COUNTBLANK(F8:O8)=10,"",IF(P8+Q8=0,"",RANK(X8,X7:X11,0)))</f>
        <v>2</v>
      </c>
      <c r="U8" s="303">
        <f>VLOOKUP(C8,'★(結果)④番手別＆総合成績'!$C$7:$AM$68,37,FALSE)</f>
        <v>117</v>
      </c>
      <c r="V8" s="276">
        <f>COUNTA($F$6:$O$6)-1-W8</f>
        <v>9</v>
      </c>
      <c r="W8" s="276">
        <f>COUNTBLANK(F8:O8)-1</f>
        <v>0</v>
      </c>
      <c r="X8" s="276">
        <f>IF(P8="",0,P8*100000000+R8*10000-S8)</f>
        <v>709170000</v>
      </c>
      <c r="Y8" s="276">
        <f>IF(X8=0,"",IF(X8=MAX($X$7,$X$8,$X$9,$X$10,$X$11),1,""))</f>
      </c>
      <c r="Z8" s="276" t="str">
        <f>Y8&amp;B8</f>
        <v>兵庫</v>
      </c>
      <c r="AA8" s="276" t="str">
        <f>C8</f>
        <v>堂園 雅也</v>
      </c>
      <c r="AB8" s="274">
        <v>2</v>
      </c>
      <c r="AC8" s="292" t="str">
        <f>AC7</f>
        <v>滋賀</v>
      </c>
      <c r="AD8" s="293" t="str">
        <f>IF(AC8="","",VLOOKUP(AC8,'ブロック表'!$C$4:$N$15,5,FALSE))</f>
        <v>大橋 義治</v>
      </c>
      <c r="AE8" s="294"/>
      <c r="AF8" s="295"/>
      <c r="AG8" s="296" t="str">
        <f>'★(結果)④番手別＆総合成績'!F25</f>
        <v>W</v>
      </c>
      <c r="AH8" s="297" t="str">
        <f>'★(結果)④番手別＆総合成績'!G25</f>
        <v>W</v>
      </c>
      <c r="AI8" s="297" t="str">
        <f>'★(結果)④番手別＆総合成績'!H25</f>
        <v>W</v>
      </c>
      <c r="AJ8" s="297">
        <f>'★(結果)④番手別＆総合成績'!I25</f>
        <v>107</v>
      </c>
      <c r="AK8" s="297" t="str">
        <f>'★(結果)④番手別＆総合成績'!J25</f>
        <v>W</v>
      </c>
      <c r="AL8" s="297"/>
      <c r="AM8" s="297">
        <f>'★(結果)④番手別＆総合成績'!L25</f>
        <v>111</v>
      </c>
      <c r="AN8" s="297">
        <f>'★(結果)④番手別＆総合成績'!M25</f>
        <v>0</v>
      </c>
      <c r="AO8" s="297">
        <f>'★(結果)④番手別＆総合成績'!N25</f>
        <v>90</v>
      </c>
      <c r="AP8" s="297" t="str">
        <f>'★(結果)④番手別＆総合成績'!O25</f>
        <v>W</v>
      </c>
      <c r="AQ8" s="298">
        <f>IF(COUNTBLANK(AG8:AP8)=10,"",COUNTIF(AG8:AP8,"W"))</f>
        <v>5</v>
      </c>
      <c r="AR8" s="299">
        <f>IF(COUNTBLANK(AG8:AP8)=10,"",COUNT(AG8:AP8))</f>
        <v>4</v>
      </c>
      <c r="AS8" s="300">
        <f>IF(COUNTBLANK(AG8:AP8)=10,"",SUM(AG8:AP8)+(AQ8*120))</f>
        <v>908</v>
      </c>
      <c r="AT8" s="300"/>
      <c r="AU8" s="301">
        <f>IF(COUNTBLANK(AG8:AP8)=10,"",IF(AQ8+AR8=0,"",RANK(AY8,AY7:AY11,0)))</f>
        <v>1</v>
      </c>
      <c r="AV8" s="303">
        <f>VLOOKUP(AD8,'★(結果)④番手別＆総合成績'!$C$7:$AM$68,37,FALSE)</f>
        <v>118</v>
      </c>
      <c r="AW8" s="276">
        <f>COUNTA($F$6:$O$6)-1-AX8</f>
        <v>9</v>
      </c>
      <c r="AX8" s="276">
        <f>COUNTBLANK(AG8:AP8)-1</f>
        <v>0</v>
      </c>
      <c r="AY8" s="276">
        <f>IF(AQ8="",0,AQ8*100000000+AS8*10000-AT8)</f>
        <v>509080000</v>
      </c>
      <c r="AZ8" s="276">
        <f>IF(AY8=0,"",IF(AY8=MAX($AY$7,$AY$8,$AY$9,$AY$10,$AY$11),1,""))</f>
        <v>1</v>
      </c>
      <c r="BA8" s="276" t="str">
        <f>AZ8&amp;AC8</f>
        <v>1滋賀</v>
      </c>
      <c r="BB8" s="276" t="str">
        <f>AD8</f>
        <v>大橋 義治</v>
      </c>
    </row>
    <row r="9" spans="1:54" ht="12" customHeight="1">
      <c r="A9" s="274">
        <v>3</v>
      </c>
      <c r="B9" s="292" t="str">
        <f>B7</f>
        <v>兵庫</v>
      </c>
      <c r="C9" s="293" t="str">
        <f>IF(B9="","",VLOOKUP(B9,'ブロック表'!$C$4:$N$15,7,FALSE))</f>
        <v>森 映智</v>
      </c>
      <c r="D9" s="294"/>
      <c r="E9" s="295"/>
      <c r="F9" s="296"/>
      <c r="G9" s="297" t="str">
        <f>'★(結果)④番手別＆総合成績'!G33</f>
        <v>W</v>
      </c>
      <c r="H9" s="297">
        <f>'★(結果)④番手別＆総合成績'!H33</f>
        <v>98</v>
      </c>
      <c r="I9" s="297" t="str">
        <f>'★(結果)④番手別＆総合成績'!I33</f>
        <v>W</v>
      </c>
      <c r="J9" s="297">
        <f>'★(結果)④番手別＆総合成績'!J33</f>
        <v>105</v>
      </c>
      <c r="K9" s="297">
        <f>'★(結果)④番手別＆総合成績'!K33</f>
        <v>69</v>
      </c>
      <c r="L9" s="297" t="str">
        <f>'★(結果)④番手別＆総合成績'!L33</f>
        <v>W</v>
      </c>
      <c r="M9" s="297">
        <f>'★(結果)④番手別＆総合成績'!M33</f>
        <v>53</v>
      </c>
      <c r="N9" s="297" t="str">
        <f>'★(結果)④番手別＆総合成績'!N33</f>
        <v>W</v>
      </c>
      <c r="O9" s="297">
        <f>'★(結果)④番手別＆総合成績'!O33</f>
        <v>65</v>
      </c>
      <c r="P9" s="298">
        <f>IF(COUNTBLANK(F9:O9)=10,"",COUNTIF(F9:O9,"W"))</f>
        <v>4</v>
      </c>
      <c r="Q9" s="299">
        <f>IF(COUNTBLANK(F9:O9)=10,"",COUNT(F9:O9))</f>
        <v>5</v>
      </c>
      <c r="R9" s="300">
        <f>IF(COUNTBLANK(F9:O9)=10,"",SUM(F9:O9)+(P9*120))</f>
        <v>870</v>
      </c>
      <c r="S9" s="300"/>
      <c r="T9" s="301">
        <f>IF(COUNTBLANK(F9:O9)=10,"",IF(P9+Q9=0,"",RANK(X9,X7:X11,0)))</f>
        <v>4</v>
      </c>
      <c r="U9" s="303">
        <f>VLOOKUP(C9,'★(結果)④番手別＆総合成績'!$C$7:$AM$68,37,FALSE)</f>
        <v>119</v>
      </c>
      <c r="V9" s="276">
        <f>COUNTA($F$6:$O$6)-1-W9</f>
        <v>9</v>
      </c>
      <c r="W9" s="276">
        <f>COUNTBLANK(F9:O9)-1</f>
        <v>0</v>
      </c>
      <c r="X9" s="276">
        <f>IF(P9="",0,P9*100000000+R9*10000-S9)</f>
        <v>408700000</v>
      </c>
      <c r="Y9" s="276">
        <f>IF(X9=0,"",IF(X9=MAX($X$7,$X$8,$X$9,$X$10,$X$11),1,""))</f>
      </c>
      <c r="Z9" s="276" t="str">
        <f>Y9&amp;B9</f>
        <v>兵庫</v>
      </c>
      <c r="AA9" s="276" t="str">
        <f>C9</f>
        <v>森 映智</v>
      </c>
      <c r="AB9" s="274">
        <v>3</v>
      </c>
      <c r="AC9" s="292" t="str">
        <f>AC7</f>
        <v>滋賀</v>
      </c>
      <c r="AD9" s="293" t="str">
        <f>IF(AC9="","",VLOOKUP(AC9,'ブロック表'!$C$4:$N$15,7,FALSE))</f>
        <v>西峰 久祐</v>
      </c>
      <c r="AE9" s="294"/>
      <c r="AF9" s="295"/>
      <c r="AG9" s="296" t="str">
        <f>'★(結果)④番手別＆総合成績'!F38</f>
        <v>W</v>
      </c>
      <c r="AH9" s="297">
        <f>'★(結果)④番手別＆総合成績'!G38</f>
        <v>32</v>
      </c>
      <c r="AI9" s="297">
        <f>'★(結果)④番手別＆総合成績'!H38</f>
        <v>7</v>
      </c>
      <c r="AJ9" s="297">
        <f>'★(結果)④番手別＆総合成績'!I38</f>
        <v>1</v>
      </c>
      <c r="AK9" s="297">
        <f>'★(結果)④番手別＆総合成績'!J38</f>
        <v>56</v>
      </c>
      <c r="AL9" s="297"/>
      <c r="AM9" s="297" t="str">
        <f>'★(結果)④番手別＆総合成績'!L38</f>
        <v>W</v>
      </c>
      <c r="AN9" s="297">
        <f>'★(結果)④番手別＆総合成績'!M38</f>
        <v>35</v>
      </c>
      <c r="AO9" s="297">
        <f>'★(結果)④番手別＆総合成績'!N38</f>
        <v>29</v>
      </c>
      <c r="AP9" s="297" t="str">
        <f>'★(結果)④番手別＆総合成績'!O38</f>
        <v>W</v>
      </c>
      <c r="AQ9" s="298">
        <f>IF(COUNTBLANK(AG9:AP9)=10,"",COUNTIF(AG9:AP9,"W"))</f>
        <v>3</v>
      </c>
      <c r="AR9" s="299">
        <f>IF(COUNTBLANK(AG9:AP9)=10,"",COUNT(AG9:AP9))</f>
        <v>6</v>
      </c>
      <c r="AS9" s="300">
        <f>IF(COUNTBLANK(AG9:AP9)=10,"",SUM(AG9:AP9)+(AQ9*120))</f>
        <v>520</v>
      </c>
      <c r="AT9" s="300"/>
      <c r="AU9" s="301">
        <f>IF(COUNTBLANK(AG9:AP9)=10,"",IF(AQ9+AR9=0,"",RANK(AY9,AY7:AY11,0)))</f>
        <v>4</v>
      </c>
      <c r="AV9" s="303">
        <f>VLOOKUP(AD9,'★(結果)④番手別＆総合成績'!$C$7:$AM$68,37,FALSE)</f>
      </c>
      <c r="AW9" s="276">
        <f>COUNTA($F$6:$O$6)-1-AX9</f>
        <v>9</v>
      </c>
      <c r="AX9" s="276">
        <f>COUNTBLANK(AG9:AP9)-1</f>
        <v>0</v>
      </c>
      <c r="AY9" s="276">
        <f>IF(AQ9="",0,AQ9*100000000+AS9*10000-AT9)</f>
        <v>305200000</v>
      </c>
      <c r="AZ9" s="276">
        <f>IF(AY9=0,"",IF(AY9=MAX($AY$7,$AY$8,$AY$9,$AY$10,$AY$11),1,""))</f>
      </c>
      <c r="BA9" s="276" t="str">
        <f>AZ9&amp;AC9</f>
        <v>滋賀</v>
      </c>
      <c r="BB9" s="276" t="str">
        <f>AD9</f>
        <v>西峰 久祐</v>
      </c>
    </row>
    <row r="10" spans="1:54" ht="12" customHeight="1">
      <c r="A10" s="274">
        <v>4</v>
      </c>
      <c r="B10" s="292" t="str">
        <f>B7</f>
        <v>兵庫</v>
      </c>
      <c r="C10" s="293" t="str">
        <f>IF(B10="","",VLOOKUP(B10,'ブロック表'!$C$4:$N$15,9,FALSE))</f>
        <v>白澤 雄一郎</v>
      </c>
      <c r="D10" s="294"/>
      <c r="E10" s="295"/>
      <c r="F10" s="296"/>
      <c r="G10" s="297">
        <f>'★(結果)④番手別＆総合成績'!G46</f>
        <v>89</v>
      </c>
      <c r="H10" s="297" t="str">
        <f>'★(結果)④番手別＆総合成績'!H46</f>
        <v>W</v>
      </c>
      <c r="I10" s="297">
        <f>'★(結果)④番手別＆総合成績'!I46</f>
        <v>64</v>
      </c>
      <c r="J10" s="297" t="str">
        <f>'★(結果)④番手別＆総合成績'!J46</f>
        <v>W</v>
      </c>
      <c r="K10" s="297">
        <f>'★(結果)④番手別＆総合成績'!K46</f>
        <v>17</v>
      </c>
      <c r="L10" s="297" t="str">
        <f>'★(結果)④番手別＆総合成績'!L46</f>
        <v>W</v>
      </c>
      <c r="M10" s="297">
        <f>'★(結果)④番手別＆総合成績'!M46</f>
        <v>113</v>
      </c>
      <c r="N10" s="297" t="str">
        <f>'★(結果)④番手別＆総合成績'!N46</f>
        <v>W</v>
      </c>
      <c r="O10" s="297" t="str">
        <f>'★(結果)④番手別＆総合成績'!O46</f>
        <v>W</v>
      </c>
      <c r="P10" s="298">
        <f>IF(COUNTBLANK(F10:O10)=10,"",COUNTIF(F10:O10,"W"))</f>
        <v>5</v>
      </c>
      <c r="Q10" s="299">
        <f>IF(COUNTBLANK(F10:O10)=10,"",COUNT(F10:O10))</f>
        <v>4</v>
      </c>
      <c r="R10" s="300">
        <f>IF(COUNTBLANK(F10:O10)=10,"",SUM(F10:O10)+(P10*120))</f>
        <v>883</v>
      </c>
      <c r="S10" s="300"/>
      <c r="T10" s="301">
        <f>IF(COUNTBLANK(F10:O10)=10,"",IF(P10+Q10=0,"",RANK(X10,X7:X11,0)))</f>
        <v>3</v>
      </c>
      <c r="U10" s="303">
        <f>VLOOKUP(C10,'★(結果)④番手別＆総合成績'!$C$7:$AM$68,37,FALSE)</f>
      </c>
      <c r="V10" s="276">
        <f>COUNTA($F$6:$O$6)-1-W10</f>
        <v>9</v>
      </c>
      <c r="W10" s="276">
        <f>COUNTBLANK(F10:O10)-1</f>
        <v>0</v>
      </c>
      <c r="X10" s="276">
        <f>IF(P10="",0,P10*100000000+R10*10000-S10)</f>
        <v>508830000</v>
      </c>
      <c r="Y10" s="276">
        <f>IF(X10=0,"",IF(X10=MAX($X$7,$X$8,$X$9,$X$10,$X$11),1,""))</f>
      </c>
      <c r="Z10" s="276" t="str">
        <f>Y10&amp;B10</f>
        <v>兵庫</v>
      </c>
      <c r="AA10" s="276" t="str">
        <f>C10</f>
        <v>白澤 雄一郎</v>
      </c>
      <c r="AB10" s="274">
        <v>4</v>
      </c>
      <c r="AC10" s="292" t="str">
        <f>AC7</f>
        <v>滋賀</v>
      </c>
      <c r="AD10" s="293" t="str">
        <f>IF(AC10="","",VLOOKUP(AC10,'ブロック表'!$C$4:$N$15,9,FALSE))</f>
        <v>長田 智紀</v>
      </c>
      <c r="AE10" s="294"/>
      <c r="AF10" s="295"/>
      <c r="AG10" s="296" t="str">
        <f>'★(結果)④番手別＆総合成績'!F51</f>
        <v>W</v>
      </c>
      <c r="AH10" s="297">
        <f>'★(結果)④番手別＆総合成績'!G51</f>
        <v>84</v>
      </c>
      <c r="AI10" s="297">
        <f>'★(結果)④番手別＆総合成績'!H51</f>
        <v>87</v>
      </c>
      <c r="AJ10" s="297">
        <f>'★(結果)④番手別＆総合成績'!I51</f>
        <v>18</v>
      </c>
      <c r="AK10" s="297" t="str">
        <f>'★(結果)④番手別＆総合成績'!J51</f>
        <v>W</v>
      </c>
      <c r="AL10" s="297"/>
      <c r="AM10" s="297">
        <f>'★(結果)④番手別＆総合成績'!L51</f>
        <v>85</v>
      </c>
      <c r="AN10" s="297" t="str">
        <f>'★(結果)④番手別＆総合成績'!M51</f>
        <v>W</v>
      </c>
      <c r="AO10" s="297" t="str">
        <f>'★(結果)④番手別＆総合成績'!N51</f>
        <v>W</v>
      </c>
      <c r="AP10" s="297">
        <f>'★(結果)④番手別＆総合成績'!O51</f>
        <v>104</v>
      </c>
      <c r="AQ10" s="298">
        <f>IF(COUNTBLANK(AG10:AP10)=10,"",COUNTIF(AG10:AP10,"W"))</f>
        <v>4</v>
      </c>
      <c r="AR10" s="299">
        <f>IF(COUNTBLANK(AG10:AP10)=10,"",COUNT(AG10:AP10))</f>
        <v>5</v>
      </c>
      <c r="AS10" s="300">
        <f>IF(COUNTBLANK(AG10:AP10)=10,"",SUM(AG10:AP10)+(AQ10*120))</f>
        <v>858</v>
      </c>
      <c r="AT10" s="300"/>
      <c r="AU10" s="301">
        <f>IF(COUNTBLANK(AG10:AP10)=10,"",IF(AQ10+AR10=0,"",RANK(AY10,AY7:AY11,0)))</f>
        <v>3</v>
      </c>
      <c r="AV10" s="303">
        <f>VLOOKUP(AD10,'★(結果)④番手別＆総合成績'!$C$7:$AM$68,37,FALSE)</f>
      </c>
      <c r="AW10" s="276">
        <f>COUNTA($F$6:$O$6)-1-AX10</f>
        <v>9</v>
      </c>
      <c r="AX10" s="276">
        <f>COUNTBLANK(AG10:AP10)-1</f>
        <v>0</v>
      </c>
      <c r="AY10" s="276">
        <f>IF(AQ10="",0,AQ10*100000000+AS10*10000-AT10)</f>
        <v>408580000</v>
      </c>
      <c r="AZ10" s="276">
        <f>IF(AY10=0,"",IF(AY10=MAX($AY$7,$AY$8,$AY$9,$AY$10,$AY$11),1,""))</f>
      </c>
      <c r="BA10" s="276" t="str">
        <f>AZ10&amp;AC10</f>
        <v>滋賀</v>
      </c>
      <c r="BB10" s="276" t="str">
        <f>AD10</f>
        <v>長田 智紀</v>
      </c>
    </row>
    <row r="11" spans="1:54" ht="12.75" customHeight="1">
      <c r="A11" s="274">
        <v>5</v>
      </c>
      <c r="B11" s="304" t="str">
        <f>B7</f>
        <v>兵庫</v>
      </c>
      <c r="C11" s="305" t="str">
        <f>IF(B11="","",VLOOKUP(B11,'ブロック表'!$C$4:$N$15,11,FALSE))</f>
        <v>平井 洸志</v>
      </c>
      <c r="D11" s="306"/>
      <c r="E11" s="307"/>
      <c r="F11" s="308"/>
      <c r="G11" s="309">
        <f>'★(結果)④番手別＆総合成績'!G59</f>
        <v>14</v>
      </c>
      <c r="H11" s="309">
        <f>'★(結果)④番手別＆総合成績'!H59</f>
        <v>7</v>
      </c>
      <c r="I11" s="309" t="str">
        <f>'★(結果)④番手別＆総合成績'!I59</f>
        <v>W</v>
      </c>
      <c r="J11" s="309">
        <f>'★(結果)④番手別＆総合成績'!J59</f>
        <v>33</v>
      </c>
      <c r="K11" s="309">
        <f>'★(結果)④番手別＆総合成績'!K59</f>
        <v>8</v>
      </c>
      <c r="L11" s="309" t="str">
        <f>'★(結果)④番手別＆総合成績'!L59</f>
        <v>W</v>
      </c>
      <c r="M11" s="309" t="str">
        <f>'★(結果)④番手別＆総合成績'!M59</f>
        <v>W</v>
      </c>
      <c r="N11" s="309" t="str">
        <f>'★(結果)④番手別＆総合成績'!N59</f>
        <v>W</v>
      </c>
      <c r="O11" s="309">
        <f>'★(結果)④番手別＆総合成績'!O59</f>
        <v>14</v>
      </c>
      <c r="P11" s="310">
        <f>IF(COUNTBLANK(F11:O11)=10,"",COUNTIF(F11:O11,"W"))</f>
        <v>4</v>
      </c>
      <c r="Q11" s="311">
        <f>IF(COUNTBLANK(F11:O11)=10,"",COUNT(F11:O11))</f>
        <v>5</v>
      </c>
      <c r="R11" s="312">
        <f>IF(COUNTBLANK(F11:O11)=10,"",SUM(F11:O11)+(P11*120))</f>
        <v>556</v>
      </c>
      <c r="S11" s="312"/>
      <c r="T11" s="313">
        <f>IF(COUNTBLANK(F11:O11)=10,"",IF(P11+Q11=0,"",RANK(X11,X7:X11,0)))</f>
        <v>5</v>
      </c>
      <c r="U11" s="314">
        <f>VLOOKUP(C11,'★(結果)④番手別＆総合成績'!$C$7:$AM$68,37,FALSE)</f>
      </c>
      <c r="V11" s="276">
        <f>COUNTA($F$6:$O$6)-1-W11</f>
        <v>9</v>
      </c>
      <c r="W11" s="276">
        <f>COUNTBLANK(F11:O11)-1</f>
        <v>0</v>
      </c>
      <c r="X11" s="276">
        <f>IF(P11="",0,P11*100000000+R11*10000-S11)</f>
        <v>405560000</v>
      </c>
      <c r="Y11" s="276">
        <f>IF(X11=0,"",IF(X11=MAX($X$7,$X$8,$X$9,$X$10,$X$11),1,""))</f>
      </c>
      <c r="Z11" s="276" t="str">
        <f>Y11&amp;B11</f>
        <v>兵庫</v>
      </c>
      <c r="AA11" s="276" t="str">
        <f>C11</f>
        <v>平井 洸志</v>
      </c>
      <c r="AB11" s="274">
        <v>5</v>
      </c>
      <c r="AC11" s="304" t="str">
        <f>AC7</f>
        <v>滋賀</v>
      </c>
      <c r="AD11" s="305" t="str">
        <f>IF(AC11="","",VLOOKUP(AC11,'ブロック表'!$C$4:$N$15,11,FALSE))</f>
        <v>大橋 正寛</v>
      </c>
      <c r="AE11" s="306"/>
      <c r="AF11" s="307"/>
      <c r="AG11" s="308" t="str">
        <f>'★(結果)④番手別＆総合成績'!F64</f>
        <v>W</v>
      </c>
      <c r="AH11" s="309" t="str">
        <f>'★(結果)④番手別＆総合成績'!G64</f>
        <v>W</v>
      </c>
      <c r="AI11" s="309">
        <f>'★(結果)④番手別＆総合成績'!H64</f>
        <v>36</v>
      </c>
      <c r="AJ11" s="309">
        <f>'★(結果)④番手別＆総合成績'!I64</f>
        <v>0</v>
      </c>
      <c r="AK11" s="309">
        <f>'★(結果)④番手別＆総合成績'!J64</f>
        <v>38</v>
      </c>
      <c r="AL11" s="309"/>
      <c r="AM11" s="309">
        <f>'★(結果)④番手別＆総合成績'!L64</f>
        <v>73</v>
      </c>
      <c r="AN11" s="309" t="str">
        <f>'★(結果)④番手別＆総合成績'!M64</f>
        <v>W</v>
      </c>
      <c r="AO11" s="309" t="str">
        <f>'★(結果)④番手別＆総合成績'!N64</f>
        <v>W</v>
      </c>
      <c r="AP11" s="309" t="str">
        <f>'★(結果)④番手別＆総合成績'!O64</f>
        <v>W</v>
      </c>
      <c r="AQ11" s="310">
        <f>IF(COUNTBLANK(AG11:AP11)=10,"",COUNTIF(AG11:AP11,"W"))</f>
        <v>5</v>
      </c>
      <c r="AR11" s="311">
        <f>IF(COUNTBLANK(AG11:AP11)=10,"",COUNT(AG11:AP11))</f>
        <v>4</v>
      </c>
      <c r="AS11" s="312">
        <f>IF(COUNTBLANK(AG11:AP11)=10,"",SUM(AG11:AP11)+(AQ11*120))</f>
        <v>747</v>
      </c>
      <c r="AT11" s="312"/>
      <c r="AU11" s="313">
        <f>IF(COUNTBLANK(AG11:AP11)=10,"",IF(AQ11+AR11=0,"",RANK(AY11,AY7:AY11,0)))</f>
        <v>2</v>
      </c>
      <c r="AV11" s="314">
        <f>VLOOKUP(AD11,'★(結果)④番手別＆総合成績'!$C$7:$AM$68,37,FALSE)</f>
      </c>
      <c r="AW11" s="276">
        <f>COUNTA($F$6:$O$6)-1-AX11</f>
        <v>9</v>
      </c>
      <c r="AX11" s="276">
        <f>COUNTBLANK(AG11:AP11)-1</f>
        <v>0</v>
      </c>
      <c r="AY11" s="276">
        <f>IF(AQ11="",0,AQ11*100000000+AS11*10000-AT11)</f>
        <v>507470000</v>
      </c>
      <c r="AZ11" s="276">
        <f>IF(AY11=0,"",IF(AY11=MAX($AY$7,$AY$8,$AY$9,$AY$10,$AY$11),1,""))</f>
      </c>
      <c r="BA11" s="276" t="str">
        <f>AZ11&amp;AC11</f>
        <v>滋賀</v>
      </c>
      <c r="BB11" s="276" t="str">
        <f>AD11</f>
        <v>大橋 正寛</v>
      </c>
    </row>
    <row r="13" spans="3:42" ht="12.75" customHeight="1">
      <c r="C13" s="274">
        <f>C5+1</f>
        <v>2</v>
      </c>
      <c r="D13" s="274"/>
      <c r="F13" s="30">
        <v>1</v>
      </c>
      <c r="G13" s="30">
        <v>2</v>
      </c>
      <c r="H13" s="30">
        <v>3</v>
      </c>
      <c r="I13" s="30">
        <v>4</v>
      </c>
      <c r="J13" s="30">
        <v>5</v>
      </c>
      <c r="K13" s="30">
        <v>6</v>
      </c>
      <c r="L13" s="30">
        <v>7</v>
      </c>
      <c r="M13" s="30">
        <v>8</v>
      </c>
      <c r="N13" s="30">
        <v>9</v>
      </c>
      <c r="O13" s="30">
        <v>10</v>
      </c>
      <c r="AD13" s="274">
        <f>C21+4</f>
        <v>7</v>
      </c>
      <c r="AE13" s="274"/>
      <c r="AG13" s="30">
        <v>1</v>
      </c>
      <c r="AH13" s="30">
        <v>2</v>
      </c>
      <c r="AI13" s="30">
        <v>3</v>
      </c>
      <c r="AJ13" s="30">
        <v>4</v>
      </c>
      <c r="AK13" s="30">
        <v>5</v>
      </c>
      <c r="AL13" s="30">
        <v>6</v>
      </c>
      <c r="AM13" s="30">
        <v>7</v>
      </c>
      <c r="AN13" s="30">
        <v>8</v>
      </c>
      <c r="AO13" s="30">
        <v>9</v>
      </c>
      <c r="AP13" s="30">
        <v>10</v>
      </c>
    </row>
    <row r="14" spans="2:51" ht="50.25" customHeight="1">
      <c r="B14" s="280" t="s">
        <v>229</v>
      </c>
      <c r="C14" s="281" t="s">
        <v>74</v>
      </c>
      <c r="D14" s="282"/>
      <c r="E14" s="283"/>
      <c r="F14" s="284" t="str">
        <f aca="true" t="shared" si="1" ref="F14:O14">F6</f>
        <v>兵庫</v>
      </c>
      <c r="G14" s="285" t="str">
        <f t="shared" si="1"/>
        <v>愛知</v>
      </c>
      <c r="H14" s="285" t="str">
        <f t="shared" si="1"/>
        <v>京都</v>
      </c>
      <c r="I14" s="285" t="str">
        <f t="shared" si="1"/>
        <v>大阪A</v>
      </c>
      <c r="J14" s="285" t="str">
        <f t="shared" si="1"/>
        <v>和歌山</v>
      </c>
      <c r="K14" s="285" t="str">
        <f t="shared" si="1"/>
        <v>滋賀</v>
      </c>
      <c r="L14" s="285" t="str">
        <f t="shared" si="1"/>
        <v>奈良</v>
      </c>
      <c r="M14" s="285" t="str">
        <f t="shared" si="1"/>
        <v>三重</v>
      </c>
      <c r="N14" s="285" t="str">
        <f t="shared" si="1"/>
        <v>岐阜</v>
      </c>
      <c r="O14" s="285" t="str">
        <f t="shared" si="1"/>
        <v>大阪B</v>
      </c>
      <c r="P14" s="286" t="s">
        <v>230</v>
      </c>
      <c r="Q14" s="287" t="s">
        <v>231</v>
      </c>
      <c r="R14" s="287" t="s">
        <v>232</v>
      </c>
      <c r="S14" s="287" t="s">
        <v>233</v>
      </c>
      <c r="T14" s="288" t="s">
        <v>234</v>
      </c>
      <c r="U14" s="289" t="s">
        <v>45</v>
      </c>
      <c r="V14" s="290" t="s">
        <v>235</v>
      </c>
      <c r="W14" s="290" t="s">
        <v>236</v>
      </c>
      <c r="X14" s="291" t="s">
        <v>237</v>
      </c>
      <c r="AC14" s="280" t="s">
        <v>229</v>
      </c>
      <c r="AD14" s="281" t="s">
        <v>74</v>
      </c>
      <c r="AE14" s="282"/>
      <c r="AF14" s="283"/>
      <c r="AG14" s="284" t="str">
        <f aca="true" t="shared" si="2" ref="AG14:AO14">AG6</f>
        <v>兵庫</v>
      </c>
      <c r="AH14" s="285" t="str">
        <f t="shared" si="2"/>
        <v>愛知</v>
      </c>
      <c r="AI14" s="285" t="str">
        <f t="shared" si="2"/>
        <v>京都</v>
      </c>
      <c r="AJ14" s="285" t="str">
        <f t="shared" si="2"/>
        <v>大阪A</v>
      </c>
      <c r="AK14" s="285" t="str">
        <f t="shared" si="2"/>
        <v>和歌山</v>
      </c>
      <c r="AL14" s="285" t="str">
        <f t="shared" si="2"/>
        <v>滋賀</v>
      </c>
      <c r="AM14" s="285" t="str">
        <f t="shared" si="2"/>
        <v>奈良</v>
      </c>
      <c r="AN14" s="285" t="str">
        <f t="shared" si="2"/>
        <v>三重</v>
      </c>
      <c r="AO14" s="285" t="str">
        <f t="shared" si="2"/>
        <v>岐阜</v>
      </c>
      <c r="AP14" s="285" t="str">
        <f>O6</f>
        <v>大阪B</v>
      </c>
      <c r="AQ14" s="286" t="s">
        <v>230</v>
      </c>
      <c r="AR14" s="287" t="s">
        <v>231</v>
      </c>
      <c r="AS14" s="287" t="s">
        <v>232</v>
      </c>
      <c r="AT14" s="287" t="s">
        <v>233</v>
      </c>
      <c r="AU14" s="288" t="s">
        <v>234</v>
      </c>
      <c r="AV14" s="289" t="s">
        <v>45</v>
      </c>
      <c r="AW14" s="290" t="s">
        <v>235</v>
      </c>
      <c r="AX14" s="290" t="s">
        <v>236</v>
      </c>
      <c r="AY14" s="291" t="s">
        <v>237</v>
      </c>
    </row>
    <row r="15" spans="1:54" ht="12.75" customHeight="1">
      <c r="A15" s="274">
        <v>1</v>
      </c>
      <c r="B15" s="315" t="str">
        <f>'ブロック表'!C5</f>
        <v>愛知</v>
      </c>
      <c r="C15" s="316" t="str">
        <f>IF(B15="","",VLOOKUP(B15,'ブロック表'!$C$4:$N$15,3,FALSE))</f>
        <v>小川 晃</v>
      </c>
      <c r="D15" s="317"/>
      <c r="E15" s="318"/>
      <c r="F15" s="319" t="str">
        <f>'★(結果)④番手別＆総合成績'!F8</f>
        <v>W</v>
      </c>
      <c r="G15" s="200"/>
      <c r="H15" s="320" t="str">
        <f>'★(結果)④番手別＆総合成績'!H8</f>
        <v>W</v>
      </c>
      <c r="I15" s="320">
        <f>'★(結果)④番手別＆総合成績'!I8</f>
        <v>1</v>
      </c>
      <c r="J15" s="320" t="str">
        <f>'★(結果)④番手別＆総合成績'!J8</f>
        <v>W</v>
      </c>
      <c r="K15" s="320">
        <f>'★(結果)④番手別＆総合成績'!K8</f>
        <v>35</v>
      </c>
      <c r="L15" s="320" t="str">
        <f>'★(結果)④番手別＆総合成績'!L8</f>
        <v>W</v>
      </c>
      <c r="M15" s="320">
        <f>'★(結果)④番手別＆総合成績'!M8</f>
        <v>115</v>
      </c>
      <c r="N15" s="320" t="str">
        <f>'★(結果)④番手別＆総合成績'!N8</f>
        <v>W</v>
      </c>
      <c r="O15" s="297" t="str">
        <f>'★(結果)④番手別＆総合成績'!O8</f>
        <v>W</v>
      </c>
      <c r="P15" s="298">
        <f>IF(COUNTBLANK(F15:O15)=10,"",COUNTIF(F15:O15,"W"))</f>
        <v>6</v>
      </c>
      <c r="Q15" s="299">
        <f>IF(COUNTBLANK(F15:O15)=10,"",COUNT(F15:O15))</f>
        <v>3</v>
      </c>
      <c r="R15" s="300">
        <f>IF(COUNTBLANK(F15:O15)=10,"",SUM(F15:O15)+(P15*120))</f>
        <v>871</v>
      </c>
      <c r="S15" s="300"/>
      <c r="T15" s="301">
        <f>IF(COUNTBLANK(F15:O15)=10,"",IF(P15+Q15=0,"",RANK(X15,X15:X19,0)))</f>
        <v>2</v>
      </c>
      <c r="U15" s="302">
        <f>VLOOKUP(C15,'★(結果)④番手別＆総合成績'!$C$7:$AM$68,37,FALSE)</f>
        <v>105</v>
      </c>
      <c r="V15" s="276">
        <f>COUNTA($F$6:$O$6)-1-W15</f>
        <v>9</v>
      </c>
      <c r="W15" s="276">
        <f>COUNTBLANK(F15:O15)-1</f>
        <v>0</v>
      </c>
      <c r="X15" s="276">
        <f>IF(P15="",0,P15*100000000+R15*10000-S15)</f>
        <v>608710000</v>
      </c>
      <c r="Y15" s="276">
        <f>IF(X15=0,"",IF(X15=MAX($X$15,$X$16,$X$17,$X$18,$X$19),1,""))</f>
      </c>
      <c r="Z15" s="276" t="str">
        <f>Y15&amp;B15</f>
        <v>愛知</v>
      </c>
      <c r="AA15" s="276" t="str">
        <f>C15</f>
        <v>小川 晃</v>
      </c>
      <c r="AB15" s="274">
        <v>1</v>
      </c>
      <c r="AC15" s="315" t="str">
        <f>'ブロック表'!C10</f>
        <v>奈良</v>
      </c>
      <c r="AD15" s="316" t="str">
        <f>IF(AC15="","",VLOOKUP(AC15,'ブロック表'!$C$4:$N$15,3,FALSE))</f>
        <v>岩本 剛</v>
      </c>
      <c r="AE15" s="317"/>
      <c r="AF15" s="318"/>
      <c r="AG15" s="319">
        <f>'★(結果)④番手別＆総合成績'!F13</f>
        <v>11</v>
      </c>
      <c r="AH15" s="200">
        <f>'★(結果)④番手別＆総合成績'!G13</f>
        <v>27</v>
      </c>
      <c r="AI15" s="320">
        <f>'★(結果)④番手別＆総合成績'!H13</f>
        <v>94</v>
      </c>
      <c r="AJ15" s="320">
        <f>'★(結果)④番手別＆総合成績'!I13</f>
        <v>5</v>
      </c>
      <c r="AK15" s="320">
        <f>'★(結果)④番手別＆総合成績'!J13</f>
        <v>113</v>
      </c>
      <c r="AL15" s="320" t="str">
        <f>'★(結果)④番手別＆総合成績'!K13</f>
        <v>W</v>
      </c>
      <c r="AM15" s="320"/>
      <c r="AN15" s="320">
        <f>'★(結果)④番手別＆総合成績'!M13</f>
        <v>67</v>
      </c>
      <c r="AO15" s="320" t="str">
        <f>'★(結果)④番手別＆総合成績'!N13</f>
        <v>W</v>
      </c>
      <c r="AP15" s="297">
        <f>'★(結果)④番手別＆総合成績'!O13</f>
        <v>23</v>
      </c>
      <c r="AQ15" s="298">
        <f>IF(COUNTBLANK(AG15:AP15)=10,"",COUNTIF(AG15:AP15,"W"))</f>
        <v>2</v>
      </c>
      <c r="AR15" s="299">
        <f>IF(COUNTBLANK(AG15:AP15)=10,"",COUNT(AG15:AP15))</f>
        <v>7</v>
      </c>
      <c r="AS15" s="300">
        <f>IF(COUNTBLANK(AG15:AP15)=10,"",SUM(AG15:AP15)+(AQ15*120))</f>
        <v>580</v>
      </c>
      <c r="AT15" s="300"/>
      <c r="AU15" s="301">
        <f>IF(COUNTBLANK(AG15:AP15)=10,"",IF(AQ15+AR15=0,"",RANK(AY15,AY15:AY19,0)))</f>
        <v>4</v>
      </c>
      <c r="AV15" s="302">
        <f>VLOOKUP(AD15,'★(結果)④番手別＆総合成績'!$C$7:$AM$68,37,FALSE)</f>
      </c>
      <c r="AW15" s="276">
        <f>COUNTA($F$6:$O$6)-1-AX15</f>
        <v>9</v>
      </c>
      <c r="AX15" s="276">
        <f>COUNTBLANK(AG15:AP15)-1</f>
        <v>0</v>
      </c>
      <c r="AY15" s="276">
        <f>IF(AQ15="",0,AQ15*100000000+AS15*10000-AT15)</f>
        <v>205800000</v>
      </c>
      <c r="AZ15" s="276">
        <f>IF(AY15=0,"",IF(AY15=MAX($AY$15,$AY$16,$AY$17,$AY$18,$AY$19),1,""))</f>
      </c>
      <c r="BA15" s="276" t="str">
        <f>AZ15&amp;AC15</f>
        <v>奈良</v>
      </c>
      <c r="BB15" s="276" t="str">
        <f>AD15</f>
        <v>岩本 剛</v>
      </c>
    </row>
    <row r="16" spans="1:54" ht="12" customHeight="1">
      <c r="A16" s="274">
        <v>2</v>
      </c>
      <c r="B16" s="315" t="str">
        <f>B15</f>
        <v>愛知</v>
      </c>
      <c r="C16" s="316" t="str">
        <f>IF(B16="","",VLOOKUP(B16,'ブロック表'!$C$4:$N$15,5,FALSE))</f>
        <v>櫻井 崇之</v>
      </c>
      <c r="D16" s="317"/>
      <c r="E16" s="318"/>
      <c r="F16" s="319">
        <f>'★(結果)④番手別＆総合成績'!F21</f>
        <v>32</v>
      </c>
      <c r="G16" s="200"/>
      <c r="H16" s="320">
        <f>'★(結果)④番手別＆総合成績'!H21</f>
        <v>100</v>
      </c>
      <c r="I16" s="320">
        <f>'★(結果)④番手別＆総合成績'!I21</f>
        <v>78</v>
      </c>
      <c r="J16" s="320">
        <f>'★(結果)④番手別＆総合成績'!J21</f>
        <v>92</v>
      </c>
      <c r="K16" s="320">
        <f>'★(結果)④番手別＆総合成績'!K21</f>
        <v>107</v>
      </c>
      <c r="L16" s="320">
        <f>'★(結果)④番手別＆総合成績'!L21</f>
        <v>55</v>
      </c>
      <c r="M16" s="320">
        <f>'★(結果)④番手別＆総合成績'!M21</f>
        <v>54</v>
      </c>
      <c r="N16" s="320" t="str">
        <f>'★(結果)④番手別＆総合成績'!N21</f>
        <v>W</v>
      </c>
      <c r="O16" s="297" t="str">
        <f>'★(結果)④番手別＆総合成績'!O21</f>
        <v>W</v>
      </c>
      <c r="P16" s="298">
        <f>IF(COUNTBLANK(F16:O16)=10,"",COUNTIF(F16:O16,"W"))</f>
        <v>2</v>
      </c>
      <c r="Q16" s="299">
        <f>IF(COUNTBLANK(F16:O16)=10,"",COUNT(F16:O16))</f>
        <v>7</v>
      </c>
      <c r="R16" s="300">
        <f>IF(COUNTBLANK(F16:O16)=10,"",SUM(F16:O16)+(P16*120))</f>
        <v>758</v>
      </c>
      <c r="S16" s="300"/>
      <c r="T16" s="301">
        <f>IF(COUNTBLANK(F16:O16)=10,"",IF(P16+Q16=0,"",RANK(X16,X15:X19,0)))</f>
        <v>5</v>
      </c>
      <c r="U16" s="303">
        <f>VLOOKUP(C16,'★(結果)④番手別＆総合成績'!$C$7:$AM$68,37,FALSE)</f>
      </c>
      <c r="V16" s="276">
        <f>COUNTA($F$6:$O$6)-1-W16</f>
        <v>9</v>
      </c>
      <c r="W16" s="276">
        <f>COUNTBLANK(F16:O16)-1</f>
        <v>0</v>
      </c>
      <c r="X16" s="276">
        <f>IF(P16="",0,P16*100000000+R16*10000-S16)</f>
        <v>207580000</v>
      </c>
      <c r="Y16" s="276">
        <f>IF(X16=0,"",IF(X16=MAX($X$15,$X$16,$X$17,$X$18,$X$19),1,""))</f>
      </c>
      <c r="Z16" s="276" t="str">
        <f>Y16&amp;B16</f>
        <v>愛知</v>
      </c>
      <c r="AA16" s="276" t="str">
        <f>C16</f>
        <v>櫻井 崇之</v>
      </c>
      <c r="AB16" s="274">
        <v>2</v>
      </c>
      <c r="AC16" s="315" t="str">
        <f>AC15</f>
        <v>奈良</v>
      </c>
      <c r="AD16" s="316" t="str">
        <f>IF(AC16="","",VLOOKUP(AC16,'ブロック表'!$C$4:$N$15,5,FALSE))</f>
        <v>水田 賢宏</v>
      </c>
      <c r="AE16" s="317"/>
      <c r="AF16" s="318"/>
      <c r="AG16" s="319">
        <f>'★(結果)④番手別＆総合成績'!F26</f>
        <v>22</v>
      </c>
      <c r="AH16" s="200" t="str">
        <f>'★(結果)④番手別＆総合成績'!G26</f>
        <v>W</v>
      </c>
      <c r="AI16" s="320">
        <f>'★(結果)④番手別＆総合成績'!H26</f>
        <v>50</v>
      </c>
      <c r="AJ16" s="320">
        <f>'★(結果)④番手別＆総合成績'!I26</f>
        <v>0</v>
      </c>
      <c r="AK16" s="320">
        <f>'★(結果)④番手別＆総合成績'!J26</f>
        <v>107</v>
      </c>
      <c r="AL16" s="320" t="str">
        <f>'★(結果)④番手別＆総合成績'!K26</f>
        <v>W</v>
      </c>
      <c r="AM16" s="320"/>
      <c r="AN16" s="320" t="str">
        <f>'★(結果)④番手別＆総合成績'!M26</f>
        <v>W</v>
      </c>
      <c r="AO16" s="320">
        <f>'★(結果)④番手別＆総合成績'!N26</f>
        <v>103</v>
      </c>
      <c r="AP16" s="297">
        <f>'★(結果)④番手別＆総合成績'!O26</f>
        <v>95</v>
      </c>
      <c r="AQ16" s="298">
        <f>IF(COUNTBLANK(AG16:AP16)=10,"",COUNTIF(AG16:AP16,"W"))</f>
        <v>3</v>
      </c>
      <c r="AR16" s="299">
        <f>IF(COUNTBLANK(AG16:AP16)=10,"",COUNT(AG16:AP16))</f>
        <v>6</v>
      </c>
      <c r="AS16" s="300">
        <f>IF(COUNTBLANK(AG16:AP16)=10,"",SUM(AG16:AP16)+(AQ16*120))</f>
        <v>737</v>
      </c>
      <c r="AT16" s="300"/>
      <c r="AU16" s="301">
        <f>IF(COUNTBLANK(AG16:AP16)=10,"",IF(AQ16+AR16=0,"",RANK(AY16,AY15:AY19,0)))</f>
        <v>3</v>
      </c>
      <c r="AV16" s="303">
        <f>VLOOKUP(AD16,'★(結果)④番手別＆総合成績'!$C$7:$AM$68,37,FALSE)</f>
        <v>117</v>
      </c>
      <c r="AW16" s="276">
        <f>COUNTA($F$6:$O$6)-1-AX16</f>
        <v>9</v>
      </c>
      <c r="AX16" s="276">
        <f>COUNTBLANK(AG16:AP16)-1</f>
        <v>0</v>
      </c>
      <c r="AY16" s="276">
        <f>IF(AQ16="",0,AQ16*100000000+AS16*10000-AT16)</f>
        <v>307370000</v>
      </c>
      <c r="AZ16" s="276">
        <f>IF(AY16=0,"",IF(AY16=MAX($AY$15,$AY$16,$AY$17,$AY$18,$AY$19),1,""))</f>
      </c>
      <c r="BA16" s="276" t="str">
        <f>AZ16&amp;AC16</f>
        <v>奈良</v>
      </c>
      <c r="BB16" s="276" t="str">
        <f>AD16</f>
        <v>水田 賢宏</v>
      </c>
    </row>
    <row r="17" spans="1:54" ht="12" customHeight="1">
      <c r="A17" s="274">
        <v>3</v>
      </c>
      <c r="B17" s="315" t="str">
        <f>B15</f>
        <v>愛知</v>
      </c>
      <c r="C17" s="316" t="str">
        <f>IF(B17="","",VLOOKUP(B17,'ブロック表'!$C$4:$N$15,7,FALSE))</f>
        <v>野田 絢也</v>
      </c>
      <c r="D17" s="317"/>
      <c r="E17" s="318"/>
      <c r="F17" s="319">
        <f>'★(結果)④番手別＆総合成績'!F34</f>
        <v>63</v>
      </c>
      <c r="G17" s="200"/>
      <c r="H17" s="320" t="str">
        <f>'★(結果)④番手別＆総合成績'!H34</f>
        <v>W</v>
      </c>
      <c r="I17" s="320">
        <f>'★(結果)④番手別＆総合成績'!I34</f>
        <v>16</v>
      </c>
      <c r="J17" s="320">
        <f>'★(結果)④番手別＆総合成績'!J34</f>
        <v>105</v>
      </c>
      <c r="K17" s="320" t="str">
        <f>'★(結果)④番手別＆総合成績'!K34</f>
        <v>W</v>
      </c>
      <c r="L17" s="320" t="str">
        <f>'★(結果)④番手別＆総合成績'!L34</f>
        <v>W</v>
      </c>
      <c r="M17" s="320" t="str">
        <f>'★(結果)④番手別＆総合成績'!M34</f>
        <v>W</v>
      </c>
      <c r="N17" s="320">
        <f>'★(結果)④番手別＆総合成績'!N34</f>
        <v>67</v>
      </c>
      <c r="O17" s="297" t="str">
        <f>'★(結果)④番手別＆総合成績'!O34</f>
        <v>W</v>
      </c>
      <c r="P17" s="298">
        <f>IF(COUNTBLANK(F17:O17)=10,"",COUNTIF(F17:O17,"W"))</f>
        <v>5</v>
      </c>
      <c r="Q17" s="299">
        <f>IF(COUNTBLANK(F17:O17)=10,"",COUNT(F17:O17))</f>
        <v>4</v>
      </c>
      <c r="R17" s="300">
        <f>IF(COUNTBLANK(F17:O17)=10,"",SUM(F17:O17)+(P17*120))</f>
        <v>851</v>
      </c>
      <c r="S17" s="300"/>
      <c r="T17" s="301">
        <f>IF(COUNTBLANK(F17:O17)=10,"",IF(P17+Q17=0,"",RANK(X17,X15:X19,0)))</f>
        <v>3</v>
      </c>
      <c r="U17" s="303">
        <f>VLOOKUP(C17,'★(結果)④番手別＆総合成績'!$C$7:$AM$68,37,FALSE)</f>
      </c>
      <c r="V17" s="276">
        <f>COUNTA($F$6:$O$6)-1-W17</f>
        <v>9</v>
      </c>
      <c r="W17" s="276">
        <f>COUNTBLANK(F17:O17)-1</f>
        <v>0</v>
      </c>
      <c r="X17" s="276">
        <f>IF(P17="",0,P17*100000000+R17*10000-S17)</f>
        <v>508510000</v>
      </c>
      <c r="Y17" s="276">
        <f>IF(X17=0,"",IF(X17=MAX($X$15,$X$16,$X$17,$X$18,$X$19),1,""))</f>
      </c>
      <c r="Z17" s="276" t="str">
        <f>Y17&amp;B17</f>
        <v>愛知</v>
      </c>
      <c r="AA17" s="276" t="str">
        <f>C17</f>
        <v>野田 絢也</v>
      </c>
      <c r="AB17" s="274">
        <v>3</v>
      </c>
      <c r="AC17" s="315" t="str">
        <f>AC15</f>
        <v>奈良</v>
      </c>
      <c r="AD17" s="316" t="str">
        <f>IF(AC17="","",VLOOKUP(AC17,'ブロック表'!$C$4:$N$15,7,FALSE))</f>
        <v>長谷川 進</v>
      </c>
      <c r="AE17" s="317"/>
      <c r="AF17" s="318"/>
      <c r="AG17" s="319">
        <f>'★(結果)④番手別＆総合成績'!F39</f>
        <v>16</v>
      </c>
      <c r="AH17" s="200">
        <f>'★(結果)④番手別＆総合成績'!G39</f>
        <v>67</v>
      </c>
      <c r="AI17" s="320">
        <f>'★(結果)④番手別＆総合成績'!H39</f>
        <v>16</v>
      </c>
      <c r="AJ17" s="320">
        <f>'★(結果)④番手別＆総合成績'!I39</f>
        <v>65</v>
      </c>
      <c r="AK17" s="320">
        <f>'★(結果)④番手別＆総合成績'!J39</f>
        <v>4</v>
      </c>
      <c r="AL17" s="320">
        <f>'★(結果)④番手別＆総合成績'!K39</f>
        <v>68</v>
      </c>
      <c r="AM17" s="320"/>
      <c r="AN17" s="320">
        <f>'★(結果)④番手別＆総合成績'!M39</f>
        <v>37</v>
      </c>
      <c r="AO17" s="320">
        <f>'★(結果)④番手別＆総合成績'!N39</f>
        <v>36</v>
      </c>
      <c r="AP17" s="297" t="str">
        <f>'★(結果)④番手別＆総合成績'!O39</f>
        <v>W</v>
      </c>
      <c r="AQ17" s="298">
        <f>IF(COUNTBLANK(AG17:AP17)=10,"",COUNTIF(AG17:AP17,"W"))</f>
        <v>1</v>
      </c>
      <c r="AR17" s="299">
        <f>IF(COUNTBLANK(AG17:AP17)=10,"",COUNT(AG17:AP17))</f>
        <v>8</v>
      </c>
      <c r="AS17" s="300">
        <f>IF(COUNTBLANK(AG17:AP17)=10,"",SUM(AG17:AP17)+(AQ17*120))</f>
        <v>429</v>
      </c>
      <c r="AT17" s="300"/>
      <c r="AU17" s="301">
        <f>IF(COUNTBLANK(AG17:AP17)=10,"",IF(AQ17+AR17=0,"",RANK(AY17,AY15:AY19,0)))</f>
        <v>5</v>
      </c>
      <c r="AV17" s="303">
        <f>VLOOKUP(AD17,'★(結果)④番手別＆総合成績'!$C$7:$AM$68,37,FALSE)</f>
      </c>
      <c r="AW17" s="276">
        <f>COUNTA($F$6:$O$6)-1-AX17</f>
        <v>9</v>
      </c>
      <c r="AX17" s="276">
        <f>COUNTBLANK(AG17:AP17)-1</f>
        <v>0</v>
      </c>
      <c r="AY17" s="276">
        <f>IF(AQ17="",0,AQ17*100000000+AS17*10000-AT17)</f>
        <v>104290000</v>
      </c>
      <c r="AZ17" s="276">
        <f>IF(AY17=0,"",IF(AY17=MAX($AY$15,$AY$16,$AY$17,$AY$18,$AY$19),1,""))</f>
      </c>
      <c r="BA17" s="276" t="str">
        <f>AZ17&amp;AC17</f>
        <v>奈良</v>
      </c>
      <c r="BB17" s="276" t="str">
        <f>AD17</f>
        <v>長谷川 進</v>
      </c>
    </row>
    <row r="18" spans="1:54" ht="12" customHeight="1">
      <c r="A18" s="274">
        <v>4</v>
      </c>
      <c r="B18" s="315" t="str">
        <f>B15</f>
        <v>愛知</v>
      </c>
      <c r="C18" s="316" t="str">
        <f>IF(B18="","",VLOOKUP(B18,'ブロック表'!$C$4:$N$15,9,FALSE))</f>
        <v>近藤 智靖</v>
      </c>
      <c r="D18" s="317"/>
      <c r="E18" s="318"/>
      <c r="F18" s="319" t="str">
        <f>'★(結果)④番手別＆総合成績'!F47</f>
        <v>W</v>
      </c>
      <c r="G18" s="200"/>
      <c r="H18" s="320" t="str">
        <f>'★(結果)④番手別＆総合成績'!H47</f>
        <v>W</v>
      </c>
      <c r="I18" s="320" t="str">
        <f>'★(結果)④番手別＆総合成績'!I47</f>
        <v>W</v>
      </c>
      <c r="J18" s="320" t="str">
        <f>'★(結果)④番手別＆総合成績'!J47</f>
        <v>W</v>
      </c>
      <c r="K18" s="320" t="str">
        <f>'★(結果)④番手別＆総合成績'!K47</f>
        <v>W</v>
      </c>
      <c r="L18" s="320" t="str">
        <f>'★(結果)④番手別＆総合成績'!L47</f>
        <v>W</v>
      </c>
      <c r="M18" s="320">
        <f>'★(結果)④番手別＆総合成績'!M47</f>
        <v>41</v>
      </c>
      <c r="N18" s="320">
        <f>'★(結果)④番手別＆総合成績'!N47</f>
        <v>43</v>
      </c>
      <c r="O18" s="297" t="str">
        <f>'★(結果)④番手別＆総合成績'!O47</f>
        <v>W</v>
      </c>
      <c r="P18" s="298">
        <f>IF(COUNTBLANK(F18:O18)=10,"",COUNTIF(F18:O18,"W"))</f>
        <v>7</v>
      </c>
      <c r="Q18" s="299">
        <f>IF(COUNTBLANK(F18:O18)=10,"",COUNT(F18:O18))</f>
        <v>2</v>
      </c>
      <c r="R18" s="300">
        <f>IF(COUNTBLANK(F18:O18)=10,"",SUM(F18:O18)+(P18*120))</f>
        <v>924</v>
      </c>
      <c r="S18" s="300"/>
      <c r="T18" s="301">
        <f>IF(COUNTBLANK(F18:O18)=10,"",IF(P18+Q18=0,"",RANK(X18,X15:X19,0)))</f>
        <v>1</v>
      </c>
      <c r="U18" s="303">
        <f>VLOOKUP(C18,'★(結果)④番手別＆総合成績'!$C$7:$AM$68,37,FALSE)</f>
        <v>102</v>
      </c>
      <c r="V18" s="276">
        <f>COUNTA($F$6:$O$6)-1-W18</f>
        <v>9</v>
      </c>
      <c r="W18" s="276">
        <f>COUNTBLANK(F18:O18)-1</f>
        <v>0</v>
      </c>
      <c r="X18" s="276">
        <f>IF(P18="",0,P18*100000000+R18*10000-S18)</f>
        <v>709240000</v>
      </c>
      <c r="Y18" s="276">
        <f>IF(X18=0,"",IF(X18=MAX($X$15,$X$16,$X$17,$X$18,$X$19),1,""))</f>
        <v>1</v>
      </c>
      <c r="Z18" s="276" t="str">
        <f>Y18&amp;B18</f>
        <v>1愛知</v>
      </c>
      <c r="AA18" s="276" t="str">
        <f>C18</f>
        <v>近藤 智靖</v>
      </c>
      <c r="AB18" s="274">
        <v>4</v>
      </c>
      <c r="AC18" s="315" t="str">
        <f>AC15</f>
        <v>奈良</v>
      </c>
      <c r="AD18" s="316" t="str">
        <f>IF(AC18="","",VLOOKUP(AC18,'ブロック表'!$C$4:$N$15,9,FALSE))</f>
        <v>植田 慎也</v>
      </c>
      <c r="AE18" s="317"/>
      <c r="AF18" s="318"/>
      <c r="AG18" s="319">
        <f>'★(結果)④番手別＆総合成績'!F52</f>
        <v>38</v>
      </c>
      <c r="AH18" s="200">
        <f>'★(結果)④番手別＆総合成績'!G52</f>
        <v>107</v>
      </c>
      <c r="AI18" s="320">
        <f>'★(結果)④番手別＆総合成績'!H52</f>
        <v>52</v>
      </c>
      <c r="AJ18" s="320">
        <f>'★(結果)④番手別＆総合成績'!I52</f>
        <v>105</v>
      </c>
      <c r="AK18" s="320" t="str">
        <f>'★(結果)④番手別＆総合成績'!J52</f>
        <v>W</v>
      </c>
      <c r="AL18" s="320" t="str">
        <f>'★(結果)④番手別＆総合成績'!K52</f>
        <v>W</v>
      </c>
      <c r="AM18" s="320"/>
      <c r="AN18" s="320" t="str">
        <f>'★(結果)④番手別＆総合成績'!M52</f>
        <v>W</v>
      </c>
      <c r="AO18" s="320">
        <f>'★(結果)④番手別＆総合成績'!N52</f>
        <v>95</v>
      </c>
      <c r="AP18" s="297">
        <f>'★(結果)④番手別＆総合成績'!O52</f>
        <v>64</v>
      </c>
      <c r="AQ18" s="298">
        <f>IF(COUNTBLANK(AG18:AP18)=10,"",COUNTIF(AG18:AP18,"W"))</f>
        <v>3</v>
      </c>
      <c r="AR18" s="299">
        <f>IF(COUNTBLANK(AG18:AP18)=10,"",COUNT(AG18:AP18))</f>
        <v>6</v>
      </c>
      <c r="AS18" s="300">
        <f>IF(COUNTBLANK(AG18:AP18)=10,"",SUM(AG18:AP18)+(AQ18*120))</f>
        <v>821</v>
      </c>
      <c r="AT18" s="300"/>
      <c r="AU18" s="301">
        <f>IF(COUNTBLANK(AG18:AP18)=10,"",IF(AQ18+AR18=0,"",RANK(AY18,AY15:AY19,0)))</f>
        <v>2</v>
      </c>
      <c r="AV18" s="303">
        <f>VLOOKUP(AD18,'★(結果)④番手別＆総合成績'!$C$7:$AM$68,37,FALSE)</f>
      </c>
      <c r="AW18" s="276">
        <f>COUNTA($F$6:$O$6)-1-AX18</f>
        <v>9</v>
      </c>
      <c r="AX18" s="276">
        <f>COUNTBLANK(AG18:AP18)-1</f>
        <v>0</v>
      </c>
      <c r="AY18" s="276">
        <f>IF(AQ18="",0,AQ18*100000000+AS18*10000-AT18)</f>
        <v>308210000</v>
      </c>
      <c r="AZ18" s="276">
        <f>IF(AY18=0,"",IF(AY18=MAX($AY$15,$AY$16,$AY$17,$AY$18,$AY$19),1,""))</f>
      </c>
      <c r="BA18" s="276" t="str">
        <f>AZ18&amp;AC18</f>
        <v>奈良</v>
      </c>
      <c r="BB18" s="276" t="str">
        <f>AD18</f>
        <v>植田 慎也</v>
      </c>
    </row>
    <row r="19" spans="1:54" ht="12.75" customHeight="1">
      <c r="A19" s="274">
        <v>5</v>
      </c>
      <c r="B19" s="321" t="str">
        <f>B15</f>
        <v>愛知</v>
      </c>
      <c r="C19" s="322" t="str">
        <f>IF(B19="","",VLOOKUP(B19,'ブロック表'!$C$4:$N$15,11,FALSE))</f>
        <v>島田 隆嗣</v>
      </c>
      <c r="D19" s="323"/>
      <c r="E19" s="324"/>
      <c r="F19" s="325" t="str">
        <f>'★(結果)④番手別＆総合成績'!F60</f>
        <v>W</v>
      </c>
      <c r="G19" s="326"/>
      <c r="H19" s="327" t="str">
        <f>'★(結果)④番手別＆総合成績'!H60</f>
        <v>W</v>
      </c>
      <c r="I19" s="327">
        <f>'★(結果)④番手別＆総合成績'!I60</f>
        <v>0</v>
      </c>
      <c r="J19" s="327" t="str">
        <f>'★(結果)④番手別＆総合成績'!J60</f>
        <v>W</v>
      </c>
      <c r="K19" s="327">
        <f>'★(結果)④番手別＆総合成績'!K60</f>
        <v>63</v>
      </c>
      <c r="L19" s="327">
        <f>'★(結果)④番手別＆総合成績'!L60</f>
        <v>26</v>
      </c>
      <c r="M19" s="327">
        <f>'★(結果)④番手別＆総合成績'!M60</f>
        <v>65</v>
      </c>
      <c r="N19" s="327" t="str">
        <f>'★(結果)④番手別＆総合成績'!N60</f>
        <v>W</v>
      </c>
      <c r="O19" s="309" t="str">
        <f>'★(結果)④番手別＆総合成績'!O60</f>
        <v>W</v>
      </c>
      <c r="P19" s="310">
        <f>IF(COUNTBLANK(F19:O19)=10,"",COUNTIF(F19:O19,"W"))</f>
        <v>5</v>
      </c>
      <c r="Q19" s="311">
        <f>IF(COUNTBLANK(F19:O19)=10,"",COUNT(F19:O19))</f>
        <v>4</v>
      </c>
      <c r="R19" s="312">
        <f>IF(COUNTBLANK(F19:O19)=10,"",SUM(F19:O19)+(P19*120))</f>
        <v>754</v>
      </c>
      <c r="S19" s="312"/>
      <c r="T19" s="313">
        <f>IF(COUNTBLANK(F19:O19)=10,"",IF(P19+Q19=0,"",RANK(X19,X15:X19,0)))</f>
        <v>4</v>
      </c>
      <c r="U19" s="314" t="str">
        <f>VLOOKUP(C19,'★(結果)④番手別＆総合成績'!$C$7:$AM$68,37,FALSE)</f>
        <v>A120</v>
      </c>
      <c r="V19" s="276">
        <f>COUNTA($F$6:$O$6)-1-W19</f>
        <v>9</v>
      </c>
      <c r="W19" s="276">
        <f>COUNTBLANK(F19:O19)-1</f>
        <v>0</v>
      </c>
      <c r="X19" s="276">
        <f>IF(P19="",0,P19*100000000+R19*10000-S19)</f>
        <v>507540000</v>
      </c>
      <c r="Y19" s="276">
        <f>IF(X19=0,"",IF(X19=MAX($X$15,$X$16,$X$17,$X$18,$X$19),1,""))</f>
      </c>
      <c r="Z19" s="276" t="str">
        <f>Y19&amp;B19</f>
        <v>愛知</v>
      </c>
      <c r="AA19" s="276" t="str">
        <f>C19</f>
        <v>島田 隆嗣</v>
      </c>
      <c r="AB19" s="274">
        <v>5</v>
      </c>
      <c r="AC19" s="321" t="str">
        <f>AC15</f>
        <v>奈良</v>
      </c>
      <c r="AD19" s="322" t="str">
        <f>IF(AC19="","",VLOOKUP(AC19,'ブロック表'!$C$4:$N$15,11,FALSE))</f>
        <v>山田 晃司</v>
      </c>
      <c r="AE19" s="323"/>
      <c r="AF19" s="324"/>
      <c r="AG19" s="325">
        <f>'★(結果)④番手別＆総合成績'!F65</f>
        <v>17</v>
      </c>
      <c r="AH19" s="326" t="str">
        <f>'★(結果)④番手別＆総合成績'!G65</f>
        <v>W</v>
      </c>
      <c r="AI19" s="327" t="str">
        <f>'★(結果)④番手別＆総合成績'!H65</f>
        <v>W</v>
      </c>
      <c r="AJ19" s="327">
        <f>'★(結果)④番手別＆総合成績'!I65</f>
        <v>116</v>
      </c>
      <c r="AK19" s="327" t="str">
        <f>'★(結果)④番手別＆総合成績'!J65</f>
        <v>W</v>
      </c>
      <c r="AL19" s="327" t="str">
        <f>'★(結果)④番手別＆総合成績'!K65</f>
        <v>W</v>
      </c>
      <c r="AM19" s="327"/>
      <c r="AN19" s="327">
        <f>'★(結果)④番手別＆総合成績'!M65</f>
        <v>84</v>
      </c>
      <c r="AO19" s="327" t="str">
        <f>'★(結果)④番手別＆総合成績'!N65</f>
        <v>W</v>
      </c>
      <c r="AP19" s="309">
        <f>'★(結果)④番手別＆総合成績'!O65</f>
        <v>68</v>
      </c>
      <c r="AQ19" s="310">
        <f>IF(COUNTBLANK(AG19:AP19)=10,"",COUNTIF(AG19:AP19,"W"))</f>
        <v>5</v>
      </c>
      <c r="AR19" s="311">
        <f>IF(COUNTBLANK(AG19:AP19)=10,"",COUNT(AG19:AP19))</f>
        <v>4</v>
      </c>
      <c r="AS19" s="312">
        <f>IF(COUNTBLANK(AG19:AP19)=10,"",SUM(AG19:AP19)+(AQ19*120))</f>
        <v>885</v>
      </c>
      <c r="AT19" s="312"/>
      <c r="AU19" s="313">
        <f>IF(COUNTBLANK(AG19:AP19)=10,"",IF(AQ19+AR19=0,"",RANK(AY19,AY15:AY19,0)))</f>
        <v>1</v>
      </c>
      <c r="AV19" s="314">
        <f>VLOOKUP(AD19,'★(結果)④番手別＆総合成績'!$C$7:$AM$68,37,FALSE)</f>
      </c>
      <c r="AW19" s="276">
        <f>COUNTA($F$6:$O$6)-1-AX19</f>
        <v>9</v>
      </c>
      <c r="AX19" s="276">
        <f>COUNTBLANK(AG19:AP19)-1</f>
        <v>0</v>
      </c>
      <c r="AY19" s="276">
        <f>IF(AQ19="",0,AQ19*100000000+AS19*10000-AT19)</f>
        <v>508850000</v>
      </c>
      <c r="AZ19" s="276">
        <f>IF(AY19=0,"",IF(AY19=MAX($AY$15,$AY$16,$AY$17,$AY$18,$AY$19),1,""))</f>
        <v>1</v>
      </c>
      <c r="BA19" s="276" t="str">
        <f>AZ19&amp;AC19</f>
        <v>1奈良</v>
      </c>
      <c r="BB19" s="276" t="str">
        <f>AD19</f>
        <v>山田 晃司</v>
      </c>
    </row>
    <row r="21" spans="3:42" ht="12.75" customHeight="1">
      <c r="C21" s="274">
        <f>C5+2</f>
        <v>3</v>
      </c>
      <c r="D21" s="274">
        <f>D5</f>
        <v>0</v>
      </c>
      <c r="F21" s="30">
        <v>1</v>
      </c>
      <c r="G21" s="30">
        <v>2</v>
      </c>
      <c r="H21" s="30">
        <v>3</v>
      </c>
      <c r="I21" s="30">
        <v>4</v>
      </c>
      <c r="J21" s="30">
        <v>5</v>
      </c>
      <c r="K21" s="30">
        <v>6</v>
      </c>
      <c r="L21" s="30">
        <v>7</v>
      </c>
      <c r="M21" s="30">
        <v>8</v>
      </c>
      <c r="N21" s="30">
        <v>9</v>
      </c>
      <c r="O21" s="30">
        <v>10</v>
      </c>
      <c r="AD21" s="274">
        <f>C29+4</f>
        <v>8</v>
      </c>
      <c r="AE21" s="274"/>
      <c r="AG21" s="30">
        <v>1</v>
      </c>
      <c r="AH21" s="30">
        <v>2</v>
      </c>
      <c r="AI21" s="30">
        <v>3</v>
      </c>
      <c r="AJ21" s="30">
        <v>4</v>
      </c>
      <c r="AK21" s="30">
        <v>5</v>
      </c>
      <c r="AL21" s="30">
        <v>6</v>
      </c>
      <c r="AM21" s="30">
        <v>7</v>
      </c>
      <c r="AN21" s="30">
        <v>8</v>
      </c>
      <c r="AO21" s="30">
        <v>9</v>
      </c>
      <c r="AP21" s="30">
        <v>10</v>
      </c>
    </row>
    <row r="22" spans="2:51" ht="50.25" customHeight="1">
      <c r="B22" s="280" t="s">
        <v>229</v>
      </c>
      <c r="C22" s="281" t="s">
        <v>74</v>
      </c>
      <c r="D22" s="282"/>
      <c r="E22" s="283"/>
      <c r="F22" s="284" t="str">
        <f aca="true" t="shared" si="3" ref="F22:N22">F14</f>
        <v>兵庫</v>
      </c>
      <c r="G22" s="285" t="str">
        <f t="shared" si="3"/>
        <v>愛知</v>
      </c>
      <c r="H22" s="285" t="str">
        <f t="shared" si="3"/>
        <v>京都</v>
      </c>
      <c r="I22" s="285" t="str">
        <f t="shared" si="3"/>
        <v>大阪A</v>
      </c>
      <c r="J22" s="285" t="str">
        <f t="shared" si="3"/>
        <v>和歌山</v>
      </c>
      <c r="K22" s="285" t="str">
        <f t="shared" si="3"/>
        <v>滋賀</v>
      </c>
      <c r="L22" s="285" t="str">
        <f t="shared" si="3"/>
        <v>奈良</v>
      </c>
      <c r="M22" s="285" t="str">
        <f t="shared" si="3"/>
        <v>三重</v>
      </c>
      <c r="N22" s="285" t="str">
        <f t="shared" si="3"/>
        <v>岐阜</v>
      </c>
      <c r="O22" s="285" t="str">
        <f>O6</f>
        <v>大阪B</v>
      </c>
      <c r="P22" s="286" t="s">
        <v>230</v>
      </c>
      <c r="Q22" s="287" t="s">
        <v>231</v>
      </c>
      <c r="R22" s="287" t="s">
        <v>232</v>
      </c>
      <c r="S22" s="287" t="s">
        <v>233</v>
      </c>
      <c r="T22" s="288" t="s">
        <v>234</v>
      </c>
      <c r="U22" s="289" t="s">
        <v>45</v>
      </c>
      <c r="V22" s="290" t="s">
        <v>235</v>
      </c>
      <c r="W22" s="290" t="s">
        <v>236</v>
      </c>
      <c r="X22" s="291" t="s">
        <v>237</v>
      </c>
      <c r="AC22" s="280" t="s">
        <v>229</v>
      </c>
      <c r="AD22" s="281" t="s">
        <v>74</v>
      </c>
      <c r="AE22" s="282"/>
      <c r="AF22" s="283"/>
      <c r="AG22" s="284" t="str">
        <f aca="true" t="shared" si="4" ref="AG22:AO22">AG14</f>
        <v>兵庫</v>
      </c>
      <c r="AH22" s="285" t="str">
        <f t="shared" si="4"/>
        <v>愛知</v>
      </c>
      <c r="AI22" s="285" t="str">
        <f t="shared" si="4"/>
        <v>京都</v>
      </c>
      <c r="AJ22" s="285" t="str">
        <f t="shared" si="4"/>
        <v>大阪A</v>
      </c>
      <c r="AK22" s="285" t="str">
        <f t="shared" si="4"/>
        <v>和歌山</v>
      </c>
      <c r="AL22" s="285" t="str">
        <f t="shared" si="4"/>
        <v>滋賀</v>
      </c>
      <c r="AM22" s="285" t="str">
        <f t="shared" si="4"/>
        <v>奈良</v>
      </c>
      <c r="AN22" s="285" t="str">
        <f t="shared" si="4"/>
        <v>三重</v>
      </c>
      <c r="AO22" s="285" t="str">
        <f t="shared" si="4"/>
        <v>岐阜</v>
      </c>
      <c r="AP22" s="285" t="str">
        <f>O6</f>
        <v>大阪B</v>
      </c>
      <c r="AQ22" s="286" t="s">
        <v>230</v>
      </c>
      <c r="AR22" s="287" t="s">
        <v>231</v>
      </c>
      <c r="AS22" s="287" t="s">
        <v>232</v>
      </c>
      <c r="AT22" s="287" t="s">
        <v>233</v>
      </c>
      <c r="AU22" s="288" t="s">
        <v>234</v>
      </c>
      <c r="AV22" s="289" t="s">
        <v>45</v>
      </c>
      <c r="AW22" s="290" t="s">
        <v>235</v>
      </c>
      <c r="AX22" s="290" t="s">
        <v>236</v>
      </c>
      <c r="AY22" s="291" t="s">
        <v>237</v>
      </c>
    </row>
    <row r="23" spans="1:54" ht="12.75" customHeight="1">
      <c r="A23" s="274">
        <v>1</v>
      </c>
      <c r="B23" s="315" t="str">
        <f>'ブロック表'!C6</f>
        <v>京都</v>
      </c>
      <c r="C23" s="316" t="str">
        <f>IF(B23="","",VLOOKUP(B23,'ブロック表'!$C$4:$N$15,3,FALSE))</f>
        <v>今村 哲也</v>
      </c>
      <c r="D23" s="317"/>
      <c r="E23" s="318"/>
      <c r="F23" s="319">
        <f>'★(結果)④番手別＆総合成績'!F9</f>
        <v>92</v>
      </c>
      <c r="G23" s="320">
        <f>'★(結果)④番手別＆総合成績'!G9</f>
        <v>6</v>
      </c>
      <c r="H23" s="200"/>
      <c r="I23" s="320">
        <f>'★(結果)④番手別＆総合成績'!I9</f>
        <v>0</v>
      </c>
      <c r="J23" s="320" t="str">
        <f>'★(結果)④番手別＆総合成績'!J9</f>
        <v>W</v>
      </c>
      <c r="K23" s="320" t="str">
        <f>'★(結果)④番手別＆総合成績'!K9</f>
        <v>W</v>
      </c>
      <c r="L23" s="320" t="str">
        <f>'★(結果)④番手別＆総合成績'!L9</f>
        <v>W</v>
      </c>
      <c r="M23" s="320" t="str">
        <f>'★(結果)④番手別＆総合成績'!M9</f>
        <v>W</v>
      </c>
      <c r="N23" s="320">
        <f>'★(結果)④番手別＆総合成績'!N9</f>
        <v>16</v>
      </c>
      <c r="O23" s="297">
        <f>'★(結果)④番手別＆総合成績'!O9</f>
        <v>69</v>
      </c>
      <c r="P23" s="298">
        <f>IF(COUNTBLANK(F23:O23)=10,"",COUNTIF(F23:O23,"W"))</f>
        <v>4</v>
      </c>
      <c r="Q23" s="299">
        <f>IF(COUNTBLANK(F23:O23)=10,"",COUNT(F23:O23))</f>
        <v>5</v>
      </c>
      <c r="R23" s="300">
        <f>IF(COUNTBLANK(F23:O23)=10,"",SUM(F23:O23)+(P23*120))</f>
        <v>663</v>
      </c>
      <c r="S23" s="300"/>
      <c r="T23" s="301">
        <f>IF(COUNTBLANK(F23:O23)=10,"",IF(P23+Q23=0,"",RANK(X23,X23:X27,0)))</f>
        <v>5</v>
      </c>
      <c r="U23" s="302">
        <f>VLOOKUP(C23,'★(結果)④番手別＆総合成績'!$C$7:$AM$68,37,FALSE)</f>
        <v>112</v>
      </c>
      <c r="V23" s="276">
        <f>COUNTA($F$6:$O$6)-1-W23</f>
        <v>9</v>
      </c>
      <c r="W23" s="276">
        <f>COUNTBLANK(F23:O23)-1</f>
        <v>0</v>
      </c>
      <c r="X23" s="276">
        <f>IF(P23="",0,P23*100000000+R23*10000-S23)</f>
        <v>406630000</v>
      </c>
      <c r="Y23" s="276">
        <f>IF(X23=0,"",IF(X23=MAX($X$23,$X$24,$X$25,$X$26,$X$27),1,""))</f>
      </c>
      <c r="Z23" s="276" t="str">
        <f>Y23&amp;B23</f>
        <v>京都</v>
      </c>
      <c r="AA23" s="276" t="str">
        <f>C23</f>
        <v>今村 哲也</v>
      </c>
      <c r="AB23" s="274">
        <v>1</v>
      </c>
      <c r="AC23" s="315" t="str">
        <f>'ブロック表'!C11</f>
        <v>三重</v>
      </c>
      <c r="AD23" s="316" t="str">
        <f>IF(AC23="","",VLOOKUP(AC23,'ブロック表'!$C$4:$N$15,3,FALSE))</f>
        <v>水野 憲一</v>
      </c>
      <c r="AE23" s="317"/>
      <c r="AF23" s="318"/>
      <c r="AG23" s="319">
        <f>'★(結果)④番手別＆総合成績'!F14</f>
        <v>54</v>
      </c>
      <c r="AH23" s="320" t="str">
        <f>'★(結果)④番手別＆総合成績'!G14</f>
        <v>W</v>
      </c>
      <c r="AI23" s="200">
        <f>'★(結果)④番手別＆総合成績'!H14</f>
        <v>14</v>
      </c>
      <c r="AJ23" s="320">
        <f>'★(結果)④番手別＆総合成績'!I14</f>
        <v>80</v>
      </c>
      <c r="AK23" s="320" t="str">
        <f>'★(結果)④番手別＆総合成績'!J14</f>
        <v>W</v>
      </c>
      <c r="AL23" s="320" t="str">
        <f>'★(結果)④番手別＆総合成績'!K14</f>
        <v>W</v>
      </c>
      <c r="AM23" s="320" t="str">
        <f>'★(結果)④番手別＆総合成績'!L14</f>
        <v>W</v>
      </c>
      <c r="AN23" s="320"/>
      <c r="AO23" s="320" t="str">
        <f>'★(結果)④番手別＆総合成績'!N14</f>
        <v>W</v>
      </c>
      <c r="AP23" s="297" t="str">
        <f>'★(結果)④番手別＆総合成績'!O14</f>
        <v>W</v>
      </c>
      <c r="AQ23" s="298">
        <f>IF(COUNTBLANK(AG23:AP23)=10,"",COUNTIF(AG23:AP23,"W"))</f>
        <v>6</v>
      </c>
      <c r="AR23" s="299">
        <f>IF(COUNTBLANK(AG23:AP23)=10,"",COUNT(AG23:AP23))</f>
        <v>3</v>
      </c>
      <c r="AS23" s="300">
        <f>IF(COUNTBLANK(AG23:AP23)=10,"",SUM(AG23:AP23)+(AQ23*120))</f>
        <v>868</v>
      </c>
      <c r="AT23" s="300"/>
      <c r="AU23" s="301">
        <f>IF(COUNTBLANK(AG23:AP23)=10,"",IF(AQ23+AR23=0,"",RANK(AY23,AY23:AY27,0)))</f>
        <v>2</v>
      </c>
      <c r="AV23" s="302">
        <f>VLOOKUP(AD23,'★(結果)④番手別＆総合成績'!$C$7:$AM$68,37,FALSE)</f>
      </c>
      <c r="AW23" s="276">
        <f>COUNTA($F$6:$O$6)-1-AX23</f>
        <v>9</v>
      </c>
      <c r="AX23" s="276">
        <f>COUNTBLANK(AG23:AP23)-1</f>
        <v>0</v>
      </c>
      <c r="AY23" s="276">
        <f>IF(AQ23="",0,AQ23*100000000+AS23*10000-AT23)</f>
        <v>608680000</v>
      </c>
      <c r="AZ23" s="276">
        <f>IF(AY23=0,"",IF(AY23=MAX($AY$23,$AY$24,$AY$25,$AY$26,$AY$27),1,""))</f>
      </c>
      <c r="BA23" s="276" t="str">
        <f>AZ23&amp;AC23</f>
        <v>三重</v>
      </c>
      <c r="BB23" s="276" t="str">
        <f>AD23</f>
        <v>水野 憲一</v>
      </c>
    </row>
    <row r="24" spans="1:54" ht="12" customHeight="1">
      <c r="A24" s="274">
        <v>2</v>
      </c>
      <c r="B24" s="315" t="str">
        <f>B23</f>
        <v>京都</v>
      </c>
      <c r="C24" s="316" t="str">
        <f>IF(B24="","",VLOOKUP(B24,'ブロック表'!$C$4:$N$15,5,FALSE))</f>
        <v>田附 裕次</v>
      </c>
      <c r="D24" s="317"/>
      <c r="E24" s="318"/>
      <c r="F24" s="319" t="str">
        <f>'★(結果)④番手別＆総合成績'!F22</f>
        <v>W</v>
      </c>
      <c r="G24" s="320" t="str">
        <f>'★(結果)④番手別＆総合成績'!G22</f>
        <v>W</v>
      </c>
      <c r="H24" s="200"/>
      <c r="I24" s="320" t="str">
        <f>'★(結果)④番手別＆総合成績'!I22</f>
        <v>W</v>
      </c>
      <c r="J24" s="320" t="str">
        <f>'★(結果)④番手別＆総合成績'!J22</f>
        <v>W</v>
      </c>
      <c r="K24" s="320">
        <f>'★(結果)④番手別＆総合成績'!K22</f>
        <v>68</v>
      </c>
      <c r="L24" s="320" t="str">
        <f>'★(結果)④番手別＆総合成績'!L22</f>
        <v>W</v>
      </c>
      <c r="M24" s="320" t="str">
        <f>'★(結果)④番手別＆総合成績'!M22</f>
        <v>W</v>
      </c>
      <c r="N24" s="320" t="str">
        <f>'★(結果)④番手別＆総合成績'!N22</f>
        <v>W</v>
      </c>
      <c r="O24" s="297">
        <f>'★(結果)④番手別＆総合成績'!O22</f>
        <v>105</v>
      </c>
      <c r="P24" s="298">
        <f>IF(COUNTBLANK(F24:O24)=10,"",COUNTIF(F24:O24,"W"))</f>
        <v>7</v>
      </c>
      <c r="Q24" s="299">
        <f>IF(COUNTBLANK(F24:O24)=10,"",COUNT(F24:O24))</f>
        <v>2</v>
      </c>
      <c r="R24" s="300">
        <f>IF(COUNTBLANK(F24:O24)=10,"",SUM(F24:O24)+(P24*120))</f>
        <v>1013</v>
      </c>
      <c r="S24" s="300"/>
      <c r="T24" s="301">
        <f>IF(COUNTBLANK(F24:O24)=10,"",IF(P24+Q24=0,"",RANK(X24,X23:X27,0)))</f>
        <v>1</v>
      </c>
      <c r="U24" s="303">
        <f>VLOOKUP(C24,'★(結果)④番手別＆総合成績'!$C$7:$AM$68,37,FALSE)</f>
      </c>
      <c r="V24" s="276">
        <f>COUNTA($F$6:$O$6)-1-W24</f>
        <v>9</v>
      </c>
      <c r="W24" s="276">
        <f>COUNTBLANK(F24:O24)-1</f>
        <v>0</v>
      </c>
      <c r="X24" s="276">
        <f>IF(P24="",0,P24*100000000+R24*10000-S24)</f>
        <v>710130000</v>
      </c>
      <c r="Y24" s="276">
        <f>IF(X24=0,"",IF(X24=MAX($X$23,$X$24,$X$25,$X$26,$X$27),1,""))</f>
        <v>1</v>
      </c>
      <c r="Z24" s="276" t="str">
        <f>Y24&amp;B24</f>
        <v>1京都</v>
      </c>
      <c r="AA24" s="276" t="str">
        <f>C24</f>
        <v>田附 裕次</v>
      </c>
      <c r="AB24" s="274">
        <v>2</v>
      </c>
      <c r="AC24" s="315" t="str">
        <f>AC23</f>
        <v>三重</v>
      </c>
      <c r="AD24" s="316" t="str">
        <f>IF(AC24="","",VLOOKUP(AC24,'ブロック表'!$C$4:$N$15,5,FALSE))</f>
        <v>市川 裕貴</v>
      </c>
      <c r="AE24" s="317"/>
      <c r="AF24" s="318"/>
      <c r="AG24" s="319">
        <f>'★(結果)④番手別＆総合成績'!F27</f>
        <v>11</v>
      </c>
      <c r="AH24" s="320" t="str">
        <f>'★(結果)④番手別＆総合成績'!G27</f>
        <v>W</v>
      </c>
      <c r="AI24" s="200">
        <f>'★(結果)④番手別＆総合成績'!H27</f>
        <v>97</v>
      </c>
      <c r="AJ24" s="320">
        <f>'★(結果)④番手別＆総合成績'!I27</f>
        <v>44</v>
      </c>
      <c r="AK24" s="320" t="str">
        <f>'★(結果)④番手別＆総合成績'!J27</f>
        <v>W</v>
      </c>
      <c r="AL24" s="320" t="str">
        <f>'★(結果)④番手別＆総合成績'!K27</f>
        <v>W</v>
      </c>
      <c r="AM24" s="320">
        <f>'★(結果)④番手別＆総合成績'!L27</f>
        <v>118</v>
      </c>
      <c r="AN24" s="320"/>
      <c r="AO24" s="320" t="str">
        <f>'★(結果)④番手別＆総合成績'!N27</f>
        <v>W</v>
      </c>
      <c r="AP24" s="297" t="str">
        <f>'★(結果)④番手別＆総合成績'!O27</f>
        <v>W</v>
      </c>
      <c r="AQ24" s="298">
        <f>IF(COUNTBLANK(AG24:AP24)=10,"",COUNTIF(AG24:AP24,"W"))</f>
        <v>5</v>
      </c>
      <c r="AR24" s="299">
        <f>IF(COUNTBLANK(AG24:AP24)=10,"",COUNT(AG24:AP24))</f>
        <v>4</v>
      </c>
      <c r="AS24" s="300">
        <f>IF(COUNTBLANK(AG24:AP24)=10,"",SUM(AG24:AP24)+(AQ24*120))</f>
        <v>870</v>
      </c>
      <c r="AT24" s="300"/>
      <c r="AU24" s="301">
        <f>IF(COUNTBLANK(AG24:AP24)=10,"",IF(AQ24+AR24=0,"",RANK(AY24,AY23:AY27,0)))</f>
        <v>4</v>
      </c>
      <c r="AV24" s="303">
        <f>VLOOKUP(AD24,'★(結果)④番手別＆総合成績'!$C$7:$AM$68,37,FALSE)</f>
      </c>
      <c r="AW24" s="276">
        <f>COUNTA($F$6:$O$6)-1-AX24</f>
        <v>9</v>
      </c>
      <c r="AX24" s="276">
        <f>COUNTBLANK(AG24:AP24)-1</f>
        <v>0</v>
      </c>
      <c r="AY24" s="276">
        <f>IF(AQ24="",0,AQ24*100000000+AS24*10000-AT24)</f>
        <v>508700000</v>
      </c>
      <c r="AZ24" s="276">
        <f>IF(AY24=0,"",IF(AY24=MAX($AY$23,$AY$24,$AY$25,$AY$26,$AY$27),1,""))</f>
      </c>
      <c r="BA24" s="276" t="str">
        <f>AZ24&amp;AC24</f>
        <v>三重</v>
      </c>
      <c r="BB24" s="276" t="str">
        <f>AD24</f>
        <v>市川 裕貴</v>
      </c>
    </row>
    <row r="25" spans="1:54" ht="12" customHeight="1">
      <c r="A25" s="274">
        <v>3</v>
      </c>
      <c r="B25" s="315" t="str">
        <f>B23</f>
        <v>京都</v>
      </c>
      <c r="C25" s="316" t="str">
        <f>IF(B25="","",VLOOKUP(B25,'ブロック表'!$C$4:$N$15,7,FALSE))</f>
        <v>佐藤 雄吾</v>
      </c>
      <c r="D25" s="317"/>
      <c r="E25" s="318"/>
      <c r="F25" s="319" t="str">
        <f>'★(結果)④番手別＆総合成績'!F35</f>
        <v>W</v>
      </c>
      <c r="G25" s="320">
        <f>'★(結果)④番手別＆総合成績'!G35</f>
        <v>105</v>
      </c>
      <c r="H25" s="200"/>
      <c r="I25" s="320" t="str">
        <f>'★(結果)④番手別＆総合成績'!I35</f>
        <v>W</v>
      </c>
      <c r="J25" s="320" t="str">
        <f>'★(結果)④番手別＆総合成績'!J35</f>
        <v>W</v>
      </c>
      <c r="K25" s="320" t="str">
        <f>'★(結果)④番手別＆総合成績'!K35</f>
        <v>W</v>
      </c>
      <c r="L25" s="320" t="str">
        <f>'★(結果)④番手別＆総合成績'!L35</f>
        <v>W</v>
      </c>
      <c r="M25" s="320" t="str">
        <f>'★(結果)④番手別＆総合成績'!M35</f>
        <v>W</v>
      </c>
      <c r="N25" s="320" t="str">
        <f>'★(結果)④番手別＆総合成績'!N35</f>
        <v>W</v>
      </c>
      <c r="O25" s="297">
        <f>'★(結果)④番手別＆総合成績'!O35</f>
        <v>38</v>
      </c>
      <c r="P25" s="298">
        <f>IF(COUNTBLANK(F25:O25)=10,"",COUNTIF(F25:O25,"W"))</f>
        <v>7</v>
      </c>
      <c r="Q25" s="299">
        <f>IF(COUNTBLANK(F25:O25)=10,"",COUNT(F25:O25))</f>
        <v>2</v>
      </c>
      <c r="R25" s="300">
        <f>IF(COUNTBLANK(F25:O25)=10,"",SUM(F25:O25)+(P25*120))</f>
        <v>983</v>
      </c>
      <c r="S25" s="300"/>
      <c r="T25" s="301">
        <f>IF(COUNTBLANK(F25:O25)=10,"",IF(P25+Q25=0,"",RANK(X25,X23:X27,0)))</f>
        <v>2</v>
      </c>
      <c r="U25" s="303">
        <f>VLOOKUP(C25,'★(結果)④番手別＆総合成績'!$C$7:$AM$68,37,FALSE)</f>
      </c>
      <c r="V25" s="276">
        <f>COUNTA($F$6:$O$6)-1-W25</f>
        <v>9</v>
      </c>
      <c r="W25" s="276">
        <f>COUNTBLANK(F25:O25)-1</f>
        <v>0</v>
      </c>
      <c r="X25" s="276">
        <f>IF(P25="",0,P25*100000000+R25*10000-S25)</f>
        <v>709830000</v>
      </c>
      <c r="Y25" s="276">
        <f>IF(X25=0,"",IF(X25=MAX($X$23,$X$24,$X$25,$X$26,$X$27),1,""))</f>
      </c>
      <c r="Z25" s="276" t="str">
        <f>Y25&amp;B25</f>
        <v>京都</v>
      </c>
      <c r="AA25" s="276" t="str">
        <f>C25</f>
        <v>佐藤 雄吾</v>
      </c>
      <c r="AB25" s="274">
        <v>3</v>
      </c>
      <c r="AC25" s="315" t="str">
        <f>AC23</f>
        <v>三重</v>
      </c>
      <c r="AD25" s="316" t="str">
        <f>IF(AC25="","",VLOOKUP(AC25,'ブロック表'!$C$4:$N$15,7,FALSE))</f>
        <v>黒宮 健二</v>
      </c>
      <c r="AE25" s="317"/>
      <c r="AF25" s="318"/>
      <c r="AG25" s="319" t="str">
        <f>'★(結果)④番手別＆総合成績'!F40</f>
        <v>W</v>
      </c>
      <c r="AH25" s="320">
        <f>'★(結果)④番手別＆総合成績'!G40</f>
        <v>51</v>
      </c>
      <c r="AI25" s="200">
        <f>'★(結果)④番手別＆総合成績'!H40</f>
        <v>51</v>
      </c>
      <c r="AJ25" s="320" t="str">
        <f>'★(結果)④番手別＆総合成績'!I40</f>
        <v>W</v>
      </c>
      <c r="AK25" s="320" t="str">
        <f>'★(結果)④番手別＆総合成績'!J40</f>
        <v>W</v>
      </c>
      <c r="AL25" s="320" t="str">
        <f>'★(結果)④番手別＆総合成績'!K40</f>
        <v>W</v>
      </c>
      <c r="AM25" s="320" t="str">
        <f>'★(結果)④番手別＆総合成績'!L40</f>
        <v>W</v>
      </c>
      <c r="AN25" s="320"/>
      <c r="AO25" s="320">
        <f>'★(結果)④番手別＆総合成績'!N40</f>
        <v>78</v>
      </c>
      <c r="AP25" s="297">
        <f>'★(結果)④番手別＆総合成績'!O40</f>
        <v>26</v>
      </c>
      <c r="AQ25" s="298">
        <f>IF(COUNTBLANK(AG25:AP25)=10,"",COUNTIF(AG25:AP25,"W"))</f>
        <v>5</v>
      </c>
      <c r="AR25" s="299">
        <f>IF(COUNTBLANK(AG25:AP25)=10,"",COUNT(AG25:AP25))</f>
        <v>4</v>
      </c>
      <c r="AS25" s="300">
        <f>IF(COUNTBLANK(AG25:AP25)=10,"",SUM(AG25:AP25)+(AQ25*120))</f>
        <v>806</v>
      </c>
      <c r="AT25" s="300"/>
      <c r="AU25" s="301">
        <f>IF(COUNTBLANK(AG25:AP25)=10,"",IF(AQ25+AR25=0,"",RANK(AY25,AY23:AY27,0)))</f>
        <v>5</v>
      </c>
      <c r="AV25" s="303">
        <f>VLOOKUP(AD25,'★(結果)④番手別＆総合成績'!$C$7:$AM$68,37,FALSE)</f>
      </c>
      <c r="AW25" s="276">
        <f>COUNTA($F$6:$O$6)-1-AX25</f>
        <v>9</v>
      </c>
      <c r="AX25" s="276">
        <f>COUNTBLANK(AG25:AP25)-1</f>
        <v>0</v>
      </c>
      <c r="AY25" s="276">
        <f>IF(AQ25="",0,AQ25*100000000+AS25*10000-AT25)</f>
        <v>508060000</v>
      </c>
      <c r="AZ25" s="276">
        <f>IF(AY25=0,"",IF(AY25=MAX($AY$23,$AY$24,$AY$25,$AY$26,$AY$27),1,""))</f>
      </c>
      <c r="BA25" s="276" t="str">
        <f>AZ25&amp;AC25</f>
        <v>三重</v>
      </c>
      <c r="BB25" s="276" t="str">
        <f>AD25</f>
        <v>黒宮 健二</v>
      </c>
    </row>
    <row r="26" spans="1:54" ht="12" customHeight="1">
      <c r="A26" s="274">
        <v>4</v>
      </c>
      <c r="B26" s="315" t="str">
        <f>B23</f>
        <v>京都</v>
      </c>
      <c r="C26" s="316" t="str">
        <f>IF(B26="","",VLOOKUP(B26,'ブロック表'!$C$4:$N$15,9,FALSE))</f>
        <v>加藤 秀万</v>
      </c>
      <c r="D26" s="317"/>
      <c r="E26" s="318"/>
      <c r="F26" s="319">
        <f>'★(結果)④番手別＆総合成績'!F48</f>
        <v>20</v>
      </c>
      <c r="G26" s="320">
        <f>'★(結果)④番手別＆総合成績'!G48</f>
        <v>81</v>
      </c>
      <c r="H26" s="200"/>
      <c r="I26" s="320">
        <f>'★(結果)④番手別＆総合成績'!I48</f>
        <v>61</v>
      </c>
      <c r="J26" s="320" t="str">
        <f>'★(結果)④番手別＆総合成績'!J48</f>
        <v>W</v>
      </c>
      <c r="K26" s="320" t="str">
        <f>'★(結果)④番手別＆総合成績'!K48</f>
        <v>W</v>
      </c>
      <c r="L26" s="320" t="str">
        <f>'★(結果)④番手別＆総合成績'!L48</f>
        <v>W</v>
      </c>
      <c r="M26" s="320">
        <f>'★(結果)④番手別＆総合成績'!M48</f>
        <v>24</v>
      </c>
      <c r="N26" s="320" t="str">
        <f>'★(結果)④番手別＆総合成績'!N48</f>
        <v>W</v>
      </c>
      <c r="O26" s="297" t="str">
        <f>'★(結果)④番手別＆総合成績'!O48</f>
        <v>W</v>
      </c>
      <c r="P26" s="298">
        <f>IF(COUNTBLANK(F26:O26)=10,"",COUNTIF(F26:O26,"W"))</f>
        <v>5</v>
      </c>
      <c r="Q26" s="299">
        <f>IF(COUNTBLANK(F26:O26)=10,"",COUNT(F26:O26))</f>
        <v>4</v>
      </c>
      <c r="R26" s="300">
        <f>IF(COUNTBLANK(F26:O26)=10,"",SUM(F26:O26)+(P26*120))</f>
        <v>786</v>
      </c>
      <c r="S26" s="300"/>
      <c r="T26" s="301">
        <f>IF(COUNTBLANK(F26:O26)=10,"",IF(P26+Q26=0,"",RANK(X26,X23:X27,0)))</f>
        <v>3</v>
      </c>
      <c r="U26" s="303">
        <f>VLOOKUP(C26,'★(結果)④番手別＆総合成績'!$C$7:$AM$68,37,FALSE)</f>
      </c>
      <c r="V26" s="276">
        <f>COUNTA($F$6:$O$6)-1-W26</f>
        <v>9</v>
      </c>
      <c r="W26" s="276">
        <f>COUNTBLANK(F26:O26)-1</f>
        <v>0</v>
      </c>
      <c r="X26" s="276">
        <f>IF(P26="",0,P26*100000000+R26*10000-S26)</f>
        <v>507860000</v>
      </c>
      <c r="Y26" s="276">
        <f>IF(X26=0,"",IF(X26=MAX($X$23,$X$24,$X$25,$X$26,$X$27),1,""))</f>
      </c>
      <c r="Z26" s="276" t="str">
        <f>Y26&amp;B26</f>
        <v>京都</v>
      </c>
      <c r="AA26" s="276" t="str">
        <f>C26</f>
        <v>加藤 秀万</v>
      </c>
      <c r="AB26" s="274">
        <v>4</v>
      </c>
      <c r="AC26" s="315" t="str">
        <f>AC23</f>
        <v>三重</v>
      </c>
      <c r="AD26" s="316" t="str">
        <f>IF(AC26="","",VLOOKUP(AC26,'ブロック表'!$C$4:$N$15,9,FALSE))</f>
        <v>杉本 諭</v>
      </c>
      <c r="AE26" s="317"/>
      <c r="AF26" s="318"/>
      <c r="AG26" s="319" t="str">
        <f>'★(結果)④番手別＆総合成績'!F53</f>
        <v>W</v>
      </c>
      <c r="AH26" s="320" t="str">
        <f>'★(結果)④番手別＆総合成績'!G53</f>
        <v>W</v>
      </c>
      <c r="AI26" s="200" t="str">
        <f>'★(結果)④番手別＆総合成績'!H53</f>
        <v>W</v>
      </c>
      <c r="AJ26" s="320" t="str">
        <f>'★(結果)④番手別＆総合成績'!I53</f>
        <v>W</v>
      </c>
      <c r="AK26" s="320" t="str">
        <f>'★(結果)④番手別＆総合成績'!J53</f>
        <v>W</v>
      </c>
      <c r="AL26" s="320">
        <f>'★(結果)④番手別＆総合成績'!K53</f>
        <v>93</v>
      </c>
      <c r="AM26" s="320">
        <f>'★(結果)④番手別＆総合成績'!L53</f>
        <v>93</v>
      </c>
      <c r="AN26" s="320"/>
      <c r="AO26" s="320" t="str">
        <f>'★(結果)④番手別＆総合成績'!N53</f>
        <v>W</v>
      </c>
      <c r="AP26" s="297">
        <f>'★(結果)④番手別＆総合成績'!O53</f>
        <v>90</v>
      </c>
      <c r="AQ26" s="298">
        <f>IF(COUNTBLANK(AG26:AP26)=10,"",COUNTIF(AG26:AP26,"W"))</f>
        <v>6</v>
      </c>
      <c r="AR26" s="299">
        <f>IF(COUNTBLANK(AG26:AP26)=10,"",COUNT(AG26:AP26))</f>
        <v>3</v>
      </c>
      <c r="AS26" s="300">
        <f>IF(COUNTBLANK(AG26:AP26)=10,"",SUM(AG26:AP26)+(AQ26*120))</f>
        <v>996</v>
      </c>
      <c r="AT26" s="300"/>
      <c r="AU26" s="301">
        <f>IF(COUNTBLANK(AG26:AP26)=10,"",IF(AQ26+AR26=0,"",RANK(AY26,AY23:AY27,0)))</f>
        <v>1</v>
      </c>
      <c r="AV26" s="303">
        <f>VLOOKUP(AD26,'★(結果)④番手別＆総合成績'!$C$7:$AM$68,37,FALSE)</f>
      </c>
      <c r="AW26" s="276">
        <f>COUNTA($F$6:$O$6)-1-AX26</f>
        <v>9</v>
      </c>
      <c r="AX26" s="276">
        <f>COUNTBLANK(AG26:AP26)-1</f>
        <v>0</v>
      </c>
      <c r="AY26" s="276">
        <f>IF(AQ26="",0,AQ26*100000000+AS26*10000-AT26)</f>
        <v>609960000</v>
      </c>
      <c r="AZ26" s="276">
        <f>IF(AY26=0,"",IF(AY26=MAX($AY$23,$AY$24,$AY$25,$AY$26,$AY$27),1,""))</f>
        <v>1</v>
      </c>
      <c r="BA26" s="276" t="str">
        <f>AZ26&amp;AC26</f>
        <v>1三重</v>
      </c>
      <c r="BB26" s="276" t="str">
        <f>AD26</f>
        <v>杉本 諭</v>
      </c>
    </row>
    <row r="27" spans="1:54" ht="12.75" customHeight="1">
      <c r="A27" s="274">
        <v>5</v>
      </c>
      <c r="B27" s="321" t="str">
        <f>B23</f>
        <v>京都</v>
      </c>
      <c r="C27" s="322" t="str">
        <f>IF(B27="","",VLOOKUP(B27,'ブロック表'!$C$4:$N$15,11,FALSE))</f>
        <v>山下 直生</v>
      </c>
      <c r="D27" s="323"/>
      <c r="E27" s="324"/>
      <c r="F27" s="325" t="str">
        <f>'★(結果)④番手別＆総合成績'!F61</f>
        <v>W</v>
      </c>
      <c r="G27" s="327">
        <f>'★(結果)④番手別＆総合成績'!G61</f>
        <v>0</v>
      </c>
      <c r="H27" s="326"/>
      <c r="I27" s="327" t="str">
        <f>'★(結果)④番手別＆総合成績'!I61</f>
        <v>W</v>
      </c>
      <c r="J27" s="327">
        <f>'★(結果)④番手別＆総合成績'!J61</f>
        <v>78</v>
      </c>
      <c r="K27" s="327" t="str">
        <f>'★(結果)④番手別＆総合成績'!K61</f>
        <v>W</v>
      </c>
      <c r="L27" s="327">
        <f>'★(結果)④番手別＆総合成績'!L61</f>
        <v>71</v>
      </c>
      <c r="M27" s="327">
        <f>'★(結果)④番手別＆総合成績'!M61</f>
        <v>22</v>
      </c>
      <c r="N27" s="327" t="str">
        <f>'★(結果)④番手別＆総合成績'!N61</f>
        <v>W</v>
      </c>
      <c r="O27" s="309">
        <f>'★(結果)④番手別＆総合成績'!O61</f>
        <v>118</v>
      </c>
      <c r="P27" s="310">
        <f>IF(COUNTBLANK(F27:O27)=10,"",COUNTIF(F27:O27,"W"))</f>
        <v>4</v>
      </c>
      <c r="Q27" s="311">
        <f>IF(COUNTBLANK(F27:O27)=10,"",COUNT(F27:O27))</f>
        <v>5</v>
      </c>
      <c r="R27" s="312">
        <f>IF(COUNTBLANK(F27:O27)=10,"",SUM(F27:O27)+(P27*120))</f>
        <v>769</v>
      </c>
      <c r="S27" s="312"/>
      <c r="T27" s="313">
        <f>IF(COUNTBLANK(F27:O27)=10,"",IF(P27+Q27=0,"",RANK(X27,X23:X27,0)))</f>
        <v>4</v>
      </c>
      <c r="U27" s="314">
        <f>VLOOKUP(C27,'★(結果)④番手別＆総合成績'!$C$7:$AM$68,37,FALSE)</f>
      </c>
      <c r="V27" s="276">
        <f>COUNTA($F$6:$O$6)-1-W27</f>
        <v>9</v>
      </c>
      <c r="W27" s="276">
        <f>COUNTBLANK(F27:O27)-1</f>
        <v>0</v>
      </c>
      <c r="X27" s="276">
        <f>IF(P27="",0,P27*100000000+R27*10000-S27)</f>
        <v>407690000</v>
      </c>
      <c r="Y27" s="276">
        <f>IF(X27=0,"",IF(X27=MAX($X$23,$X$24,$X$25,$X$26,$X$27),1,""))</f>
      </c>
      <c r="Z27" s="276" t="str">
        <f>Y27&amp;B27</f>
        <v>京都</v>
      </c>
      <c r="AA27" s="276" t="str">
        <f>C27</f>
        <v>山下 直生</v>
      </c>
      <c r="AB27" s="274">
        <v>5</v>
      </c>
      <c r="AC27" s="321" t="str">
        <f>AC23</f>
        <v>三重</v>
      </c>
      <c r="AD27" s="322" t="str">
        <f>IF(AC27="","",VLOOKUP(AC27,'ブロック表'!$C$4:$N$15,11,FALSE))</f>
        <v>森本 英幸</v>
      </c>
      <c r="AE27" s="323"/>
      <c r="AF27" s="324"/>
      <c r="AG27" s="325">
        <f>'★(結果)④番手別＆総合成績'!F66</f>
        <v>76</v>
      </c>
      <c r="AH27" s="327" t="str">
        <f>'★(結果)④番手別＆総合成績'!G66</f>
        <v>W</v>
      </c>
      <c r="AI27" s="326" t="str">
        <f>'★(結果)④番手別＆総合成績'!H66</f>
        <v>W</v>
      </c>
      <c r="AJ27" s="327">
        <f>'★(結果)④番手別＆総合成績'!I66</f>
        <v>57</v>
      </c>
      <c r="AK27" s="327">
        <f>'★(結果)④番手別＆総合成績'!J66</f>
        <v>111</v>
      </c>
      <c r="AL27" s="327">
        <f>'★(結果)④番手別＆総合成績'!K66</f>
        <v>44</v>
      </c>
      <c r="AM27" s="327" t="str">
        <f>'★(結果)④番手別＆総合成績'!L66</f>
        <v>W</v>
      </c>
      <c r="AN27" s="327"/>
      <c r="AO27" s="327" t="str">
        <f>'★(結果)④番手別＆総合成績'!N66</f>
        <v>W</v>
      </c>
      <c r="AP27" s="309" t="str">
        <f>'★(結果)④番手別＆総合成績'!O66</f>
        <v>W</v>
      </c>
      <c r="AQ27" s="310">
        <f>IF(COUNTBLANK(AG27:AP27)=10,"",COUNTIF(AG27:AP27,"W"))</f>
        <v>5</v>
      </c>
      <c r="AR27" s="311">
        <f>IF(COUNTBLANK(AG27:AP27)=10,"",COUNT(AG27:AP27))</f>
        <v>4</v>
      </c>
      <c r="AS27" s="312">
        <f>IF(COUNTBLANK(AG27:AP27)=10,"",SUM(AG27:AP27)+(AQ27*120))</f>
        <v>888</v>
      </c>
      <c r="AT27" s="312"/>
      <c r="AU27" s="313">
        <f>IF(COUNTBLANK(AG27:AP27)=10,"",IF(AQ27+AR27=0,"",RANK(AY27,AY23:AY27,0)))</f>
        <v>3</v>
      </c>
      <c r="AV27" s="314">
        <f>VLOOKUP(AD27,'★(結果)④番手別＆総合成績'!$C$7:$AM$68,37,FALSE)</f>
        <v>106</v>
      </c>
      <c r="AW27" s="276">
        <f>COUNTA($F$6:$O$6)-1-AX27</f>
        <v>9</v>
      </c>
      <c r="AX27" s="276">
        <f>COUNTBLANK(AG27:AP27)-1</f>
        <v>0</v>
      </c>
      <c r="AY27" s="276">
        <f>IF(AQ27="",0,AQ27*100000000+AS27*10000-AT27)</f>
        <v>508880000</v>
      </c>
      <c r="AZ27" s="276">
        <f>IF(AY27=0,"",IF(AY27=MAX($AY$23,$AY$24,$AY$25,$AY$26,$AY$27),1,""))</f>
      </c>
      <c r="BA27" s="276" t="str">
        <f>AZ27&amp;AC27</f>
        <v>三重</v>
      </c>
      <c r="BB27" s="276" t="str">
        <f>AD27</f>
        <v>森本 英幸</v>
      </c>
    </row>
    <row r="29" spans="3:42" ht="12.75" customHeight="1">
      <c r="C29" s="274">
        <f>C5+3</f>
        <v>4</v>
      </c>
      <c r="D29" s="274"/>
      <c r="F29" s="30">
        <v>1</v>
      </c>
      <c r="G29" s="30">
        <v>2</v>
      </c>
      <c r="H29" s="30">
        <v>3</v>
      </c>
      <c r="I29" s="30">
        <v>4</v>
      </c>
      <c r="J29" s="30">
        <v>5</v>
      </c>
      <c r="K29" s="30">
        <v>6</v>
      </c>
      <c r="L29" s="30">
        <v>7</v>
      </c>
      <c r="M29" s="30">
        <v>8</v>
      </c>
      <c r="N29" s="30">
        <v>9</v>
      </c>
      <c r="O29" s="30">
        <v>10</v>
      </c>
      <c r="AD29" s="274">
        <f>C37+4</f>
        <v>9</v>
      </c>
      <c r="AE29" s="274"/>
      <c r="AG29" s="30">
        <v>1</v>
      </c>
      <c r="AH29" s="30">
        <v>2</v>
      </c>
      <c r="AI29" s="30">
        <v>3</v>
      </c>
      <c r="AJ29" s="30">
        <v>4</v>
      </c>
      <c r="AK29" s="30">
        <v>5</v>
      </c>
      <c r="AL29" s="30">
        <v>6</v>
      </c>
      <c r="AM29" s="30">
        <v>7</v>
      </c>
      <c r="AN29" s="30">
        <v>8</v>
      </c>
      <c r="AO29" s="30">
        <v>9</v>
      </c>
      <c r="AP29" s="30">
        <v>10</v>
      </c>
    </row>
    <row r="30" spans="2:51" ht="50.25" customHeight="1">
      <c r="B30" s="280" t="s">
        <v>229</v>
      </c>
      <c r="C30" s="281" t="s">
        <v>74</v>
      </c>
      <c r="D30" s="282"/>
      <c r="E30" s="283"/>
      <c r="F30" s="284" t="str">
        <f aca="true" t="shared" si="5" ref="F30:N30">F22</f>
        <v>兵庫</v>
      </c>
      <c r="G30" s="285" t="str">
        <f t="shared" si="5"/>
        <v>愛知</v>
      </c>
      <c r="H30" s="285" t="str">
        <f t="shared" si="5"/>
        <v>京都</v>
      </c>
      <c r="I30" s="285" t="str">
        <f t="shared" si="5"/>
        <v>大阪A</v>
      </c>
      <c r="J30" s="285" t="str">
        <f t="shared" si="5"/>
        <v>和歌山</v>
      </c>
      <c r="K30" s="285" t="str">
        <f t="shared" si="5"/>
        <v>滋賀</v>
      </c>
      <c r="L30" s="285" t="str">
        <f t="shared" si="5"/>
        <v>奈良</v>
      </c>
      <c r="M30" s="285" t="str">
        <f t="shared" si="5"/>
        <v>三重</v>
      </c>
      <c r="N30" s="285" t="str">
        <f t="shared" si="5"/>
        <v>岐阜</v>
      </c>
      <c r="O30" s="285" t="str">
        <f>O6</f>
        <v>大阪B</v>
      </c>
      <c r="P30" s="286" t="s">
        <v>230</v>
      </c>
      <c r="Q30" s="287" t="s">
        <v>231</v>
      </c>
      <c r="R30" s="287" t="s">
        <v>232</v>
      </c>
      <c r="S30" s="287" t="s">
        <v>233</v>
      </c>
      <c r="T30" s="288" t="s">
        <v>234</v>
      </c>
      <c r="U30" s="289" t="s">
        <v>45</v>
      </c>
      <c r="V30" s="290" t="s">
        <v>235</v>
      </c>
      <c r="W30" s="290" t="s">
        <v>236</v>
      </c>
      <c r="X30" s="291" t="s">
        <v>237</v>
      </c>
      <c r="AC30" s="280" t="s">
        <v>229</v>
      </c>
      <c r="AD30" s="281" t="s">
        <v>74</v>
      </c>
      <c r="AE30" s="282"/>
      <c r="AF30" s="283"/>
      <c r="AG30" s="284" t="str">
        <f aca="true" t="shared" si="6" ref="AG30:AO30">AG22</f>
        <v>兵庫</v>
      </c>
      <c r="AH30" s="285" t="str">
        <f t="shared" si="6"/>
        <v>愛知</v>
      </c>
      <c r="AI30" s="285" t="str">
        <f t="shared" si="6"/>
        <v>京都</v>
      </c>
      <c r="AJ30" s="285" t="str">
        <f t="shared" si="6"/>
        <v>大阪A</v>
      </c>
      <c r="AK30" s="285" t="str">
        <f t="shared" si="6"/>
        <v>和歌山</v>
      </c>
      <c r="AL30" s="285" t="str">
        <f t="shared" si="6"/>
        <v>滋賀</v>
      </c>
      <c r="AM30" s="285" t="str">
        <f t="shared" si="6"/>
        <v>奈良</v>
      </c>
      <c r="AN30" s="285" t="str">
        <f t="shared" si="6"/>
        <v>三重</v>
      </c>
      <c r="AO30" s="285" t="str">
        <f t="shared" si="6"/>
        <v>岐阜</v>
      </c>
      <c r="AP30" s="285" t="str">
        <f>O6</f>
        <v>大阪B</v>
      </c>
      <c r="AQ30" s="286" t="s">
        <v>230</v>
      </c>
      <c r="AR30" s="287" t="s">
        <v>231</v>
      </c>
      <c r="AS30" s="287" t="s">
        <v>232</v>
      </c>
      <c r="AT30" s="287" t="s">
        <v>233</v>
      </c>
      <c r="AU30" s="288" t="s">
        <v>234</v>
      </c>
      <c r="AV30" s="289" t="s">
        <v>45</v>
      </c>
      <c r="AW30" s="290" t="s">
        <v>235</v>
      </c>
      <c r="AX30" s="290" t="s">
        <v>236</v>
      </c>
      <c r="AY30" s="291" t="s">
        <v>237</v>
      </c>
    </row>
    <row r="31" spans="1:54" ht="12.75" customHeight="1">
      <c r="A31" s="274">
        <v>1</v>
      </c>
      <c r="B31" s="315" t="str">
        <f>'ブロック表'!C7</f>
        <v>大阪A</v>
      </c>
      <c r="C31" s="316" t="str">
        <f>IF(B31="","",VLOOKUP(B31,'ブロック表'!$C$4:$N$15,3,FALSE))</f>
        <v>村上 泰辰</v>
      </c>
      <c r="D31" s="317"/>
      <c r="E31" s="318"/>
      <c r="F31" s="319">
        <f>'★(結果)④番手別＆総合成績'!F10</f>
        <v>8</v>
      </c>
      <c r="G31" s="320" t="str">
        <f>'★(結果)④番手別＆総合成績'!G10</f>
        <v>W</v>
      </c>
      <c r="H31" s="320" t="str">
        <f>'★(結果)④番手別＆総合成績'!H10</f>
        <v>W</v>
      </c>
      <c r="I31" s="200"/>
      <c r="J31" s="320" t="str">
        <f>'★(結果)④番手別＆総合成績'!J10</f>
        <v>W</v>
      </c>
      <c r="K31" s="320" t="str">
        <f>'★(結果)④番手別＆総合成績'!K10</f>
        <v>W</v>
      </c>
      <c r="L31" s="320" t="str">
        <f>'★(結果)④番手別＆総合成績'!L10</f>
        <v>W</v>
      </c>
      <c r="M31" s="320" t="str">
        <f>'★(結果)④番手別＆総合成績'!M10</f>
        <v>W</v>
      </c>
      <c r="N31" s="320">
        <f>'★(結果)④番手別＆総合成績'!N10</f>
        <v>110</v>
      </c>
      <c r="O31" s="297" t="str">
        <f>'★(結果)④番手別＆総合成績'!O10</f>
        <v>W</v>
      </c>
      <c r="P31" s="298">
        <f>IF(COUNTBLANK(F31:O31)=10,"",COUNTIF(F31:O31,"W"))</f>
        <v>7</v>
      </c>
      <c r="Q31" s="299">
        <f>IF(COUNTBLANK(F31:O31)=10,"",COUNT(F31:O31))</f>
        <v>2</v>
      </c>
      <c r="R31" s="300">
        <f>IF(COUNTBLANK(F31:O31)=10,"",SUM(F31:O31)+(P31*120))</f>
        <v>958</v>
      </c>
      <c r="S31" s="300"/>
      <c r="T31" s="301">
        <f>IF(COUNTBLANK(F31:O31)=10,"",IF(P31+Q31=0,"",RANK(X31,X31:X35,0)))</f>
        <v>2</v>
      </c>
      <c r="U31" s="302" t="str">
        <f>VLOOKUP(C31,'★(結果)④番手別＆総合成績'!$C$7:$AM$68,37,FALSE)</f>
        <v>B120</v>
      </c>
      <c r="V31" s="276">
        <f>COUNTA($F$6:$O$6)-1-W31</f>
        <v>9</v>
      </c>
      <c r="W31" s="276">
        <f>COUNTBLANK(F31:O31)-1</f>
        <v>0</v>
      </c>
      <c r="X31" s="276">
        <f>IF(P31="",0,P31*100000000+R31*10000-S31)</f>
        <v>709580000</v>
      </c>
      <c r="Y31" s="276">
        <f>IF(X31=0,"",IF(X31=MAX($X$31,$X$32,$X$33,$X$34,$X$35),1,""))</f>
      </c>
      <c r="Z31" s="276" t="str">
        <f>Y31&amp;B31</f>
        <v>大阪A</v>
      </c>
      <c r="AA31" s="276" t="str">
        <f>C31</f>
        <v>村上 泰辰</v>
      </c>
      <c r="AB31" s="274">
        <v>1</v>
      </c>
      <c r="AC31" s="315" t="str">
        <f>'ブロック表'!C12</f>
        <v>岐阜</v>
      </c>
      <c r="AD31" s="316" t="str">
        <f>IF(AC31="","",VLOOKUP(AC31,'ブロック表'!$C$4:$N$15,3,FALSE))</f>
        <v>木村 隼人</v>
      </c>
      <c r="AE31" s="317"/>
      <c r="AF31" s="318"/>
      <c r="AG31" s="319" t="str">
        <f>'★(結果)④番手別＆総合成績'!F15</f>
        <v>W</v>
      </c>
      <c r="AH31" s="320">
        <f>'★(結果)④番手別＆総合成績'!G15</f>
        <v>25</v>
      </c>
      <c r="AI31" s="320" t="str">
        <f>'★(結果)④番手別＆総合成績'!H15</f>
        <v>W</v>
      </c>
      <c r="AJ31" s="200" t="str">
        <f>'★(結果)④番手別＆総合成績'!I15</f>
        <v>W</v>
      </c>
      <c r="AK31" s="320">
        <f>'★(結果)④番手別＆総合成績'!J15</f>
        <v>81</v>
      </c>
      <c r="AL31" s="320" t="str">
        <f>'★(結果)④番手別＆総合成績'!K15</f>
        <v>W</v>
      </c>
      <c r="AM31" s="320">
        <f>'★(結果)④番手別＆総合成績'!L15</f>
        <v>73</v>
      </c>
      <c r="AN31" s="320">
        <f>'★(結果)④番手別＆総合成績'!M15</f>
        <v>78</v>
      </c>
      <c r="AO31" s="320"/>
      <c r="AP31" s="297">
        <f>'★(結果)④番手別＆総合成績'!O15</f>
        <v>96</v>
      </c>
      <c r="AQ31" s="298">
        <f>IF(COUNTBLANK(AG31:AP31)=10,"",COUNTIF(AG31:AP31,"W"))</f>
        <v>4</v>
      </c>
      <c r="AR31" s="299">
        <f>IF(COUNTBLANK(AG31:AP31)=10,"",COUNT(AG31:AP31))</f>
        <v>5</v>
      </c>
      <c r="AS31" s="300">
        <f>IF(COUNTBLANK(AG31:AP31)=10,"",SUM(AG31:AP31)+(AQ31*120))</f>
        <v>833</v>
      </c>
      <c r="AT31" s="300"/>
      <c r="AU31" s="301">
        <f>IF(COUNTBLANK(AG31:AP31)=10,"",IF(AQ31+AR31=0,"",RANK(AY31,AY31:AY35,0)))</f>
        <v>2</v>
      </c>
      <c r="AV31" s="302">
        <f>VLOOKUP(AD31,'★(結果)④番手別＆総合成績'!$C$7:$AM$68,37,FALSE)</f>
        <v>130</v>
      </c>
      <c r="AW31" s="276">
        <f>COUNTA($F$6:$O$6)-1-AX31</f>
        <v>9</v>
      </c>
      <c r="AX31" s="276">
        <f>COUNTBLANK(AG31:AP31)-1</f>
        <v>0</v>
      </c>
      <c r="AY31" s="276">
        <f>IF(AQ31="",0,AQ31*100000000+AS31*10000-AT31)</f>
        <v>408330000</v>
      </c>
      <c r="AZ31" s="276">
        <f>IF(AY31=0,"",IF(AY31=MAX($AY$31,$AY$32,$AY$33,$AY$34,$AY$35),1,""))</f>
      </c>
      <c r="BA31" s="276" t="str">
        <f>AZ31&amp;AC31</f>
        <v>岐阜</v>
      </c>
      <c r="BB31" s="276" t="str">
        <f>AD31</f>
        <v>木村 隼人</v>
      </c>
    </row>
    <row r="32" spans="1:54" ht="12" customHeight="1">
      <c r="A32" s="274">
        <v>2</v>
      </c>
      <c r="B32" s="315" t="str">
        <f>B31</f>
        <v>大阪A</v>
      </c>
      <c r="C32" s="316" t="str">
        <f>IF(B32="","",VLOOKUP(B32,'ブロック表'!$C$4:$N$15,5,FALSE))</f>
        <v>山岡 修二</v>
      </c>
      <c r="D32" s="317"/>
      <c r="E32" s="318"/>
      <c r="F32" s="319">
        <f>'★(結果)④番手別＆総合成績'!F23</f>
        <v>45</v>
      </c>
      <c r="G32" s="320" t="str">
        <f>'★(結果)④番手別＆総合成績'!G23</f>
        <v>W</v>
      </c>
      <c r="H32" s="320">
        <f>'★(結果)④番手別＆総合成績'!H23</f>
        <v>55</v>
      </c>
      <c r="I32" s="200"/>
      <c r="J32" s="320">
        <f>'★(結果)④番手別＆総合成績'!J23</f>
        <v>39</v>
      </c>
      <c r="K32" s="320" t="str">
        <f>'★(結果)④番手別＆総合成績'!K23</f>
        <v>W</v>
      </c>
      <c r="L32" s="320" t="str">
        <f>'★(結果)④番手別＆総合成績'!L23</f>
        <v>W</v>
      </c>
      <c r="M32" s="320" t="str">
        <f>'★(結果)④番手別＆総合成績'!M23</f>
        <v>W</v>
      </c>
      <c r="N32" s="320" t="str">
        <f>'★(結果)④番手別＆総合成績'!N23</f>
        <v>W</v>
      </c>
      <c r="O32" s="297" t="str">
        <f>'★(結果)④番手別＆総合成績'!O23</f>
        <v>W</v>
      </c>
      <c r="P32" s="298">
        <f>IF(COUNTBLANK(F32:O32)=10,"",COUNTIF(F32:O32,"W"))</f>
        <v>6</v>
      </c>
      <c r="Q32" s="299">
        <f>IF(COUNTBLANK(F32:O32)=10,"",COUNT(F32:O32))</f>
        <v>3</v>
      </c>
      <c r="R32" s="300">
        <f>IF(COUNTBLANK(F32:O32)=10,"",SUM(F32:O32)+(P32*120))</f>
        <v>859</v>
      </c>
      <c r="S32" s="300"/>
      <c r="T32" s="301">
        <f>IF(COUNTBLANK(F32:O32)=10,"",IF(P32+Q32=0,"",RANK(X32,X31:X35,0)))</f>
        <v>5</v>
      </c>
      <c r="U32" s="303" t="str">
        <f>VLOOKUP(C32,'★(結果)④番手別＆総合成績'!$C$7:$AM$68,37,FALSE)</f>
        <v>B120</v>
      </c>
      <c r="V32" s="276">
        <f>COUNTA($F$6:$O$6)-1-W32</f>
        <v>9</v>
      </c>
      <c r="W32" s="276">
        <f>COUNTBLANK(F32:O32)-1</f>
        <v>0</v>
      </c>
      <c r="X32" s="276">
        <f>IF(P32="",0,P32*100000000+R32*10000-S32)</f>
        <v>608590000</v>
      </c>
      <c r="Y32" s="276">
        <f>IF(X32=0,"",IF(X32=MAX($X$31,$X$32,$X$33,$X$34,$X$35),1,""))</f>
      </c>
      <c r="Z32" s="276" t="str">
        <f>Y32&amp;B32</f>
        <v>大阪A</v>
      </c>
      <c r="AA32" s="276" t="str">
        <f>C32</f>
        <v>山岡 修二</v>
      </c>
      <c r="AB32" s="274">
        <v>2</v>
      </c>
      <c r="AC32" s="315" t="str">
        <f>AC31</f>
        <v>岐阜</v>
      </c>
      <c r="AD32" s="316" t="str">
        <f>IF(AC32="","",VLOOKUP(AC32,'ブロック表'!$C$4:$N$15,5,FALSE))</f>
        <v>辻 和美</v>
      </c>
      <c r="AE32" s="317"/>
      <c r="AF32" s="318"/>
      <c r="AG32" s="319">
        <f>'★(結果)④番手別＆総合成績'!F28</f>
        <v>28</v>
      </c>
      <c r="AH32" s="320">
        <f>'★(結果)④番手別＆総合成績'!G28</f>
        <v>82</v>
      </c>
      <c r="AI32" s="320">
        <f>'★(結果)④番手別＆総合成績'!H28</f>
        <v>49</v>
      </c>
      <c r="AJ32" s="200">
        <f>'★(結果)④番手別＆総合成績'!I28</f>
        <v>3</v>
      </c>
      <c r="AK32" s="320">
        <f>'★(結果)④番手別＆総合成績'!J28</f>
        <v>70</v>
      </c>
      <c r="AL32" s="320" t="str">
        <f>'★(結果)④番手別＆総合成績'!K28</f>
        <v>W</v>
      </c>
      <c r="AM32" s="320" t="str">
        <f>'★(結果)④番手別＆総合成績'!L28</f>
        <v>W</v>
      </c>
      <c r="AN32" s="320">
        <f>'★(結果)④番手別＆総合成績'!M28</f>
        <v>53</v>
      </c>
      <c r="AO32" s="320"/>
      <c r="AP32" s="297" t="str">
        <f>'★(結果)④番手別＆総合成績'!O28</f>
        <v>W</v>
      </c>
      <c r="AQ32" s="298">
        <f>IF(COUNTBLANK(AG32:AP32)=10,"",COUNTIF(AG32:AP32,"W"))</f>
        <v>3</v>
      </c>
      <c r="AR32" s="299">
        <f>IF(COUNTBLANK(AG32:AP32)=10,"",COUNT(AG32:AP32))</f>
        <v>6</v>
      </c>
      <c r="AS32" s="300">
        <f>IF(COUNTBLANK(AG32:AP32)=10,"",SUM(AG32:AP32)+(AQ32*120))</f>
        <v>645</v>
      </c>
      <c r="AT32" s="300"/>
      <c r="AU32" s="301">
        <f>IF(COUNTBLANK(AG32:AP32)=10,"",IF(AQ32+AR32=0,"",RANK(AY32,AY31:AY35,0)))</f>
        <v>4</v>
      </c>
      <c r="AV32" s="303">
        <f>VLOOKUP(AD32,'★(結果)④番手別＆総合成績'!$C$7:$AM$68,37,FALSE)</f>
      </c>
      <c r="AW32" s="276">
        <f>COUNTA($F$6:$O$6)-1-AX32</f>
        <v>9</v>
      </c>
      <c r="AX32" s="276">
        <f>COUNTBLANK(AG32:AP32)-1</f>
        <v>0</v>
      </c>
      <c r="AY32" s="276">
        <f>IF(AQ32="",0,AQ32*100000000+AS32*10000-AT32)</f>
        <v>306450000</v>
      </c>
      <c r="AZ32" s="276">
        <f>IF(AY32=0,"",IF(AY32=MAX($AY$31,$AY$32,$AY$33,$AY$34,$AY$35),1,""))</f>
      </c>
      <c r="BA32" s="276" t="str">
        <f>AZ32&amp;AC32</f>
        <v>岐阜</v>
      </c>
      <c r="BB32" s="276" t="str">
        <f>AD32</f>
        <v>辻 和美</v>
      </c>
    </row>
    <row r="33" spans="1:54" ht="12" customHeight="1">
      <c r="A33" s="274">
        <v>3</v>
      </c>
      <c r="B33" s="315" t="str">
        <f>B31</f>
        <v>大阪A</v>
      </c>
      <c r="C33" s="316" t="str">
        <f>IF(B33="","",VLOOKUP(B33,'ブロック表'!$C$4:$N$15,7,FALSE))</f>
        <v>吉岡 保俊</v>
      </c>
      <c r="D33" s="317"/>
      <c r="E33" s="318"/>
      <c r="F33" s="319">
        <f>'★(結果)④番手別＆総合成績'!F36</f>
        <v>1</v>
      </c>
      <c r="G33" s="320" t="str">
        <f>'★(結果)④番手別＆総合成績'!G36</f>
        <v>W</v>
      </c>
      <c r="H33" s="320">
        <f>'★(結果)④番手別＆総合成績'!H36</f>
        <v>95</v>
      </c>
      <c r="I33" s="200"/>
      <c r="J33" s="320" t="str">
        <f>'★(結果)④番手別＆総合成績'!J36</f>
        <v>W</v>
      </c>
      <c r="K33" s="320" t="str">
        <f>'★(結果)④番手別＆総合成績'!K36</f>
        <v>W</v>
      </c>
      <c r="L33" s="320" t="str">
        <f>'★(結果)④番手別＆総合成績'!L36</f>
        <v>W</v>
      </c>
      <c r="M33" s="320">
        <f>'★(結果)④番手別＆総合成績'!M36</f>
        <v>83</v>
      </c>
      <c r="N33" s="320" t="str">
        <f>'★(結果)④番手別＆総合成績'!N36</f>
        <v>W</v>
      </c>
      <c r="O33" s="297" t="str">
        <f>'★(結果)④番手別＆総合成績'!O36</f>
        <v>W</v>
      </c>
      <c r="P33" s="298">
        <f>IF(COUNTBLANK(F33:O33)=10,"",COUNTIF(F33:O33,"W"))</f>
        <v>6</v>
      </c>
      <c r="Q33" s="299">
        <f>IF(COUNTBLANK(F33:O33)=10,"",COUNT(F33:O33))</f>
        <v>3</v>
      </c>
      <c r="R33" s="300">
        <f>IF(COUNTBLANK(F33:O33)=10,"",SUM(F33:O33)+(P33*120))</f>
        <v>899</v>
      </c>
      <c r="S33" s="300"/>
      <c r="T33" s="301">
        <f>IF(COUNTBLANK(F33:O33)=10,"",IF(P33+Q33=0,"",RANK(X33,X31:X35,0)))</f>
        <v>4</v>
      </c>
      <c r="U33" s="303">
        <f>VLOOKUP(C33,'★(結果)④番手別＆総合成績'!$C$7:$AM$68,37,FALSE)</f>
        <v>119</v>
      </c>
      <c r="V33" s="276">
        <f>COUNTA($F$6:$O$6)-1-W33</f>
        <v>9</v>
      </c>
      <c r="W33" s="276">
        <f>COUNTBLANK(F33:O33)-1</f>
        <v>0</v>
      </c>
      <c r="X33" s="276">
        <f>IF(P33="",0,P33*100000000+R33*10000-S33)</f>
        <v>608990000</v>
      </c>
      <c r="Y33" s="276">
        <f>IF(X33=0,"",IF(X33=MAX($X$31,$X$32,$X$33,$X$34,$X$35),1,""))</f>
      </c>
      <c r="Z33" s="276" t="str">
        <f>Y33&amp;B33</f>
        <v>大阪A</v>
      </c>
      <c r="AA33" s="276" t="str">
        <f>C33</f>
        <v>吉岡 保俊</v>
      </c>
      <c r="AB33" s="274">
        <v>3</v>
      </c>
      <c r="AC33" s="315" t="str">
        <f>AC31</f>
        <v>岐阜</v>
      </c>
      <c r="AD33" s="316" t="str">
        <f>IF(AC33="","",VLOOKUP(AC33,'ブロック表'!$C$4:$N$15,7,FALSE))</f>
        <v>徳永 修児</v>
      </c>
      <c r="AE33" s="317"/>
      <c r="AF33" s="318"/>
      <c r="AG33" s="319">
        <f>'★(結果)④番手別＆総合成績'!F41</f>
        <v>111</v>
      </c>
      <c r="AH33" s="320" t="str">
        <f>'★(結果)④番手別＆総合成績'!G41</f>
        <v>W</v>
      </c>
      <c r="AI33" s="320">
        <f>'★(結果)④番手別＆総合成績'!H41</f>
        <v>72</v>
      </c>
      <c r="AJ33" s="200">
        <f>'★(結果)④番手別＆総合成績'!I41</f>
        <v>21</v>
      </c>
      <c r="AK33" s="320">
        <f>'★(結果)④番手別＆総合成績'!J41</f>
        <v>6</v>
      </c>
      <c r="AL33" s="320" t="str">
        <f>'★(結果)④番手別＆総合成績'!K41</f>
        <v>W</v>
      </c>
      <c r="AM33" s="320" t="str">
        <f>'★(結果)④番手別＆総合成績'!L41</f>
        <v>W</v>
      </c>
      <c r="AN33" s="320" t="str">
        <f>'★(結果)④番手別＆総合成績'!M41</f>
        <v>W</v>
      </c>
      <c r="AO33" s="320"/>
      <c r="AP33" s="297" t="str">
        <f>'★(結果)④番手別＆総合成績'!O41</f>
        <v>W</v>
      </c>
      <c r="AQ33" s="298">
        <f>IF(COUNTBLANK(AG33:AP33)=10,"",COUNTIF(AG33:AP33,"W"))</f>
        <v>5</v>
      </c>
      <c r="AR33" s="299">
        <f>IF(COUNTBLANK(AG33:AP33)=10,"",COUNT(AG33:AP33))</f>
        <v>4</v>
      </c>
      <c r="AS33" s="300">
        <f>IF(COUNTBLANK(AG33:AP33)=10,"",SUM(AG33:AP33)+(AQ33*120))</f>
        <v>810</v>
      </c>
      <c r="AT33" s="300"/>
      <c r="AU33" s="301">
        <f>IF(COUNTBLANK(AG33:AP33)=10,"",IF(AQ33+AR33=0,"",RANK(AY33,AY31:AY35,0)))</f>
        <v>1</v>
      </c>
      <c r="AV33" s="303">
        <f>VLOOKUP(AD33,'★(結果)④番手別＆総合成績'!$C$7:$AM$68,37,FALSE)</f>
        <v>120</v>
      </c>
      <c r="AW33" s="276">
        <f>COUNTA($F$6:$O$6)-1-AX33</f>
        <v>9</v>
      </c>
      <c r="AX33" s="276">
        <f>COUNTBLANK(AG33:AP33)-1</f>
        <v>0</v>
      </c>
      <c r="AY33" s="276">
        <f>IF(AQ33="",0,AQ33*100000000+AS33*10000-AT33)</f>
        <v>508100000</v>
      </c>
      <c r="AZ33" s="276">
        <f>IF(AY33=0,"",IF(AY33=MAX($AY$31,$AY$32,$AY$33,$AY$34,$AY$35),1,""))</f>
        <v>1</v>
      </c>
      <c r="BA33" s="276" t="str">
        <f>AZ33&amp;AC33</f>
        <v>1岐阜</v>
      </c>
      <c r="BB33" s="276" t="str">
        <f>AD33</f>
        <v>徳永 修児</v>
      </c>
    </row>
    <row r="34" spans="1:54" ht="12" customHeight="1">
      <c r="A34" s="274">
        <v>4</v>
      </c>
      <c r="B34" s="315" t="str">
        <f>B31</f>
        <v>大阪A</v>
      </c>
      <c r="C34" s="316" t="str">
        <f>IF(B34="","",VLOOKUP(B34,'ブロック表'!$C$4:$N$15,9,FALSE))</f>
        <v>乾 伸綱</v>
      </c>
      <c r="D34" s="317"/>
      <c r="E34" s="318"/>
      <c r="F34" s="319" t="str">
        <f>'★(結果)④番手別＆総合成績'!F49</f>
        <v>W</v>
      </c>
      <c r="G34" s="320">
        <f>'★(結果)④番手別＆総合成績'!G49</f>
        <v>106</v>
      </c>
      <c r="H34" s="320" t="str">
        <f>'★(結果)④番手別＆総合成績'!H49</f>
        <v>W</v>
      </c>
      <c r="I34" s="200"/>
      <c r="J34" s="320" t="str">
        <f>'★(結果)④番手別＆総合成績'!J49</f>
        <v>W</v>
      </c>
      <c r="K34" s="320" t="str">
        <f>'★(結果)④番手別＆総合成績'!K49</f>
        <v>W</v>
      </c>
      <c r="L34" s="320" t="str">
        <f>'★(結果)④番手別＆総合成績'!L49</f>
        <v>W</v>
      </c>
      <c r="M34" s="320">
        <f>'★(結果)④番手別＆総合成績'!M49</f>
        <v>1</v>
      </c>
      <c r="N34" s="320" t="str">
        <f>'★(結果)④番手別＆総合成績'!N49</f>
        <v>W</v>
      </c>
      <c r="O34" s="297" t="str">
        <f>'★(結果)④番手別＆総合成績'!O49</f>
        <v>W</v>
      </c>
      <c r="P34" s="298">
        <f>IF(COUNTBLANK(F34:O34)=10,"",COUNTIF(F34:O34,"W"))</f>
        <v>7</v>
      </c>
      <c r="Q34" s="299">
        <f>IF(COUNTBLANK(F34:O34)=10,"",COUNT(F34:O34))</f>
        <v>2</v>
      </c>
      <c r="R34" s="300">
        <f>IF(COUNTBLANK(F34:O34)=10,"",SUM(F34:O34)+(P34*120))</f>
        <v>947</v>
      </c>
      <c r="S34" s="300"/>
      <c r="T34" s="301">
        <f>IF(COUNTBLANK(F34:O34)=10,"",IF(P34+Q34=0,"",RANK(X34,X31:X35,0)))</f>
        <v>3</v>
      </c>
      <c r="U34" s="303">
        <f>VLOOKUP(C34,'★(結果)④番手別＆総合成績'!$C$7:$AM$68,37,FALSE)</f>
      </c>
      <c r="V34" s="276">
        <f>COUNTA($F$6:$O$6)-1-W34</f>
        <v>9</v>
      </c>
      <c r="W34" s="276">
        <f>COUNTBLANK(F34:O34)-1</f>
        <v>0</v>
      </c>
      <c r="X34" s="276">
        <f>IF(P34="",0,P34*100000000+R34*10000-S34)</f>
        <v>709470000</v>
      </c>
      <c r="Y34" s="276">
        <f>IF(X34=0,"",IF(X34=MAX($X$31,$X$32,$X$33,$X$34,$X$35),1,""))</f>
      </c>
      <c r="Z34" s="276" t="str">
        <f>Y34&amp;B34</f>
        <v>大阪A</v>
      </c>
      <c r="AA34" s="276" t="str">
        <f>C34</f>
        <v>乾 伸綱</v>
      </c>
      <c r="AB34" s="274">
        <v>4</v>
      </c>
      <c r="AC34" s="315" t="str">
        <f>AC31</f>
        <v>岐阜</v>
      </c>
      <c r="AD34" s="316" t="str">
        <f>IF(AC34="","",VLOOKUP(AC34,'ブロック表'!$C$4:$N$15,9,FALSE))</f>
        <v>高橋 浩之</v>
      </c>
      <c r="AE34" s="317"/>
      <c r="AF34" s="318"/>
      <c r="AG34" s="319">
        <f>'★(結果)④番手別＆総合成績'!F54</f>
        <v>92</v>
      </c>
      <c r="AH34" s="320" t="str">
        <f>'★(結果)④番手別＆総合成績'!G54</f>
        <v>W</v>
      </c>
      <c r="AI34" s="320">
        <f>'★(結果)④番手別＆総合成績'!H54</f>
        <v>44</v>
      </c>
      <c r="AJ34" s="200">
        <f>'★(結果)④番手別＆総合成績'!I54</f>
        <v>19</v>
      </c>
      <c r="AK34" s="320" t="str">
        <f>'★(結果)④番手別＆総合成績'!J54</f>
        <v>W</v>
      </c>
      <c r="AL34" s="320">
        <f>'★(結果)④番手別＆総合成績'!K54</f>
        <v>103</v>
      </c>
      <c r="AM34" s="320" t="str">
        <f>'★(結果)④番手別＆総合成績'!L54</f>
        <v>W</v>
      </c>
      <c r="AN34" s="320">
        <f>'★(結果)④番手別＆総合成績'!M54</f>
        <v>2</v>
      </c>
      <c r="AO34" s="320"/>
      <c r="AP34" s="297" t="str">
        <f>'★(結果)④番手別＆総合成績'!O54</f>
        <v>W</v>
      </c>
      <c r="AQ34" s="298">
        <f>IF(COUNTBLANK(AG34:AP34)=10,"",COUNTIF(AG34:AP34,"W"))</f>
        <v>4</v>
      </c>
      <c r="AR34" s="299">
        <f>IF(COUNTBLANK(AG34:AP34)=10,"",COUNT(AG34:AP34))</f>
        <v>5</v>
      </c>
      <c r="AS34" s="300">
        <f>IF(COUNTBLANK(AG34:AP34)=10,"",SUM(AG34:AP34)+(AQ34*120))</f>
        <v>740</v>
      </c>
      <c r="AT34" s="300"/>
      <c r="AU34" s="301">
        <f>IF(COUNTBLANK(AG34:AP34)=10,"",IF(AQ34+AR34=0,"",RANK(AY34,AY31:AY35,0)))</f>
        <v>3</v>
      </c>
      <c r="AV34" s="303">
        <f>VLOOKUP(AD34,'★(結果)④番手別＆総合成績'!$C$7:$AM$68,37,FALSE)</f>
      </c>
      <c r="AW34" s="276">
        <f>COUNTA($F$6:$O$6)-1-AX34</f>
        <v>9</v>
      </c>
      <c r="AX34" s="276">
        <f>COUNTBLANK(AG34:AP34)-1</f>
        <v>0</v>
      </c>
      <c r="AY34" s="276">
        <f>IF(AQ34="",0,AQ34*100000000+AS34*10000-AT34)</f>
        <v>407400000</v>
      </c>
      <c r="AZ34" s="276">
        <f>IF(AY34=0,"",IF(AY34=MAX($AY$31,$AY$32,$AY$33,$AY$34,$AY$35),1,""))</f>
      </c>
      <c r="BA34" s="276" t="str">
        <f>AZ34&amp;AC34</f>
        <v>岐阜</v>
      </c>
      <c r="BB34" s="276" t="str">
        <f>AD34</f>
        <v>高橋 浩之</v>
      </c>
    </row>
    <row r="35" spans="1:54" ht="12.75" customHeight="1">
      <c r="A35" s="274">
        <v>5</v>
      </c>
      <c r="B35" s="321" t="str">
        <f>B31</f>
        <v>大阪A</v>
      </c>
      <c r="C35" s="322" t="str">
        <f>IF(B35="","",VLOOKUP(B35,'ブロック表'!$C$4:$N$15,11,FALSE))</f>
        <v>山田 玄英</v>
      </c>
      <c r="D35" s="323"/>
      <c r="E35" s="324"/>
      <c r="F35" s="325">
        <f>'★(結果)④番手別＆総合成績'!F62</f>
        <v>96</v>
      </c>
      <c r="G35" s="327" t="str">
        <f>'★(結果)④番手別＆総合成績'!G62</f>
        <v>W</v>
      </c>
      <c r="H35" s="327">
        <f>'★(結果)④番手別＆総合成績'!H62</f>
        <v>86</v>
      </c>
      <c r="I35" s="326"/>
      <c r="J35" s="327" t="str">
        <f>'★(結果)④番手別＆総合成績'!J62</f>
        <v>W</v>
      </c>
      <c r="K35" s="327" t="str">
        <f>'★(結果)④番手別＆総合成績'!K62</f>
        <v>W</v>
      </c>
      <c r="L35" s="327" t="str">
        <f>'★(結果)④番手別＆総合成績'!L62</f>
        <v>W</v>
      </c>
      <c r="M35" s="327" t="str">
        <f>'★(結果)④番手別＆総合成績'!M62</f>
        <v>W</v>
      </c>
      <c r="N35" s="327" t="str">
        <f>'★(結果)④番手別＆総合成績'!N62</f>
        <v>W</v>
      </c>
      <c r="O35" s="309" t="str">
        <f>'★(結果)④番手別＆総合成績'!O62</f>
        <v>W</v>
      </c>
      <c r="P35" s="310">
        <f>IF(COUNTBLANK(F35:O35)=10,"",COUNTIF(F35:O35,"W"))</f>
        <v>7</v>
      </c>
      <c r="Q35" s="311">
        <f>IF(COUNTBLANK(F35:O35)=10,"",COUNT(F35:O35))</f>
        <v>2</v>
      </c>
      <c r="R35" s="312">
        <f>IF(COUNTBLANK(F35:O35)=10,"",SUM(F35:O35)+(P35*120))</f>
        <v>1022</v>
      </c>
      <c r="S35" s="312"/>
      <c r="T35" s="313">
        <f>IF(COUNTBLANK(F35:O35)=10,"",IF(P35+Q35=0,"",RANK(X35,X31:X35,0)))</f>
        <v>1</v>
      </c>
      <c r="U35" s="314">
        <f>VLOOKUP(C35,'★(結果)④番手別＆総合成績'!$C$7:$AM$68,37,FALSE)</f>
        <v>115</v>
      </c>
      <c r="V35" s="276">
        <f>COUNTA($F$6:$O$6)-1-W35</f>
        <v>9</v>
      </c>
      <c r="W35" s="276">
        <f>COUNTBLANK(F35:O35)-1</f>
        <v>0</v>
      </c>
      <c r="X35" s="276">
        <f>IF(P35="",0,P35*100000000+R35*10000-S35)</f>
        <v>710220000</v>
      </c>
      <c r="Y35" s="276">
        <f>IF(X35=0,"",IF(X35=MAX($X$31,$X$32,$X$33,$X$34,$X$35),1,""))</f>
        <v>1</v>
      </c>
      <c r="Z35" s="276" t="str">
        <f>Y35&amp;B35</f>
        <v>1大阪A</v>
      </c>
      <c r="AA35" s="276" t="str">
        <f>C35</f>
        <v>山田 玄英</v>
      </c>
      <c r="AB35" s="274">
        <v>5</v>
      </c>
      <c r="AC35" s="321" t="str">
        <f>AC31</f>
        <v>岐阜</v>
      </c>
      <c r="AD35" s="322" t="str">
        <f>IF(AC35="","",VLOOKUP(AC35,'ブロック表'!$C$4:$N$15,11,FALSE))</f>
        <v>野原 朋和</v>
      </c>
      <c r="AE35" s="323"/>
      <c r="AF35" s="324"/>
      <c r="AG35" s="325">
        <f>'★(結果)④番手別＆総合成績'!F67</f>
        <v>102</v>
      </c>
      <c r="AH35" s="327">
        <f>'★(結果)④番手別＆総合成績'!G67</f>
        <v>78</v>
      </c>
      <c r="AI35" s="327">
        <f>'★(結果)④番手別＆総合成績'!H67</f>
        <v>18</v>
      </c>
      <c r="AJ35" s="326">
        <f>'★(結果)④番手別＆総合成績'!I67</f>
        <v>12</v>
      </c>
      <c r="AK35" s="327" t="str">
        <f>'★(結果)④番手別＆総合成績'!J67</f>
        <v>W</v>
      </c>
      <c r="AL35" s="327">
        <f>'★(結果)④番手別＆総合成績'!K67</f>
        <v>45</v>
      </c>
      <c r="AM35" s="327">
        <f>'★(結果)④番手別＆総合成績'!L67</f>
        <v>109</v>
      </c>
      <c r="AN35" s="327">
        <f>'★(結果)④番手別＆総合成績'!M67</f>
        <v>4</v>
      </c>
      <c r="AO35" s="327"/>
      <c r="AP35" s="309">
        <f>'★(結果)④番手別＆総合成績'!O67</f>
        <v>9</v>
      </c>
      <c r="AQ35" s="310">
        <f>IF(COUNTBLANK(AG35:AP35)=10,"",COUNTIF(AG35:AP35,"W"))</f>
        <v>1</v>
      </c>
      <c r="AR35" s="311">
        <f>IF(COUNTBLANK(AG35:AP35)=10,"",COUNT(AG35:AP35))</f>
        <v>8</v>
      </c>
      <c r="AS35" s="312">
        <f>IF(COUNTBLANK(AG35:AP35)=10,"",SUM(AG35:AP35)+(AQ35*120))</f>
        <v>497</v>
      </c>
      <c r="AT35" s="312"/>
      <c r="AU35" s="313">
        <f>IF(COUNTBLANK(AG35:AP35)=10,"",IF(AQ35+AR35=0,"",RANK(AY35,AY31:AY35,0)))</f>
        <v>5</v>
      </c>
      <c r="AV35" s="314">
        <f>VLOOKUP(AD35,'★(結果)④番手別＆総合成績'!$C$7:$AM$68,37,FALSE)</f>
      </c>
      <c r="AW35" s="276">
        <f>COUNTA($F$6:$O$6)-1-AX35</f>
        <v>9</v>
      </c>
      <c r="AX35" s="276">
        <f>COUNTBLANK(AG35:AP35)-1</f>
        <v>0</v>
      </c>
      <c r="AY35" s="276">
        <f>IF(AQ35="",0,AQ35*100000000+AS35*10000-AT35)</f>
        <v>104970000</v>
      </c>
      <c r="AZ35" s="276">
        <f>IF(AY35=0,"",IF(AY35=MAX($AY$31,$AY$32,$AY$33,$AY$34,$AY$35),1,""))</f>
      </c>
      <c r="BA35" s="276" t="str">
        <f>AZ35&amp;AC35</f>
        <v>岐阜</v>
      </c>
      <c r="BB35" s="276" t="str">
        <f>AD35</f>
        <v>野原 朋和</v>
      </c>
    </row>
    <row r="37" spans="3:42" ht="12.75" customHeight="1">
      <c r="C37" s="274">
        <f>C5+4</f>
        <v>5</v>
      </c>
      <c r="D37" s="274"/>
      <c r="F37" s="30">
        <v>1</v>
      </c>
      <c r="G37" s="30">
        <v>2</v>
      </c>
      <c r="H37" s="30">
        <v>3</v>
      </c>
      <c r="I37" s="30">
        <v>4</v>
      </c>
      <c r="J37" s="30">
        <v>5</v>
      </c>
      <c r="K37" s="30">
        <v>6</v>
      </c>
      <c r="L37" s="30">
        <v>7</v>
      </c>
      <c r="M37" s="30">
        <v>8</v>
      </c>
      <c r="N37" s="30">
        <v>9</v>
      </c>
      <c r="O37" s="30">
        <v>10</v>
      </c>
      <c r="AD37" s="274">
        <f>AD5+4</f>
        <v>10</v>
      </c>
      <c r="AE37" s="274"/>
      <c r="AG37" s="30">
        <v>1</v>
      </c>
      <c r="AH37" s="30">
        <v>2</v>
      </c>
      <c r="AI37" s="30">
        <v>3</v>
      </c>
      <c r="AJ37" s="30">
        <v>4</v>
      </c>
      <c r="AK37" s="30">
        <v>5</v>
      </c>
      <c r="AL37" s="30">
        <v>6</v>
      </c>
      <c r="AM37" s="30">
        <v>7</v>
      </c>
      <c r="AN37" s="30">
        <v>8</v>
      </c>
      <c r="AO37" s="30">
        <v>9</v>
      </c>
      <c r="AP37" s="30">
        <v>10</v>
      </c>
    </row>
    <row r="38" spans="2:51" ht="50.25" customHeight="1">
      <c r="B38" s="280" t="s">
        <v>229</v>
      </c>
      <c r="C38" s="281" t="s">
        <v>74</v>
      </c>
      <c r="D38" s="282"/>
      <c r="E38" s="283"/>
      <c r="F38" s="284" t="str">
        <f aca="true" t="shared" si="7" ref="F38:N38">F30</f>
        <v>兵庫</v>
      </c>
      <c r="G38" s="285" t="str">
        <f t="shared" si="7"/>
        <v>愛知</v>
      </c>
      <c r="H38" s="285" t="str">
        <f t="shared" si="7"/>
        <v>京都</v>
      </c>
      <c r="I38" s="285" t="str">
        <f t="shared" si="7"/>
        <v>大阪A</v>
      </c>
      <c r="J38" s="285" t="str">
        <f t="shared" si="7"/>
        <v>和歌山</v>
      </c>
      <c r="K38" s="285" t="str">
        <f t="shared" si="7"/>
        <v>滋賀</v>
      </c>
      <c r="L38" s="285" t="str">
        <f t="shared" si="7"/>
        <v>奈良</v>
      </c>
      <c r="M38" s="285" t="str">
        <f t="shared" si="7"/>
        <v>三重</v>
      </c>
      <c r="N38" s="285" t="str">
        <f t="shared" si="7"/>
        <v>岐阜</v>
      </c>
      <c r="O38" s="285" t="str">
        <f>AC43</f>
        <v>大阪B</v>
      </c>
      <c r="P38" s="286" t="s">
        <v>230</v>
      </c>
      <c r="Q38" s="287" t="s">
        <v>231</v>
      </c>
      <c r="R38" s="287" t="s">
        <v>232</v>
      </c>
      <c r="S38" s="287" t="s">
        <v>233</v>
      </c>
      <c r="T38" s="288" t="s">
        <v>234</v>
      </c>
      <c r="U38" s="289" t="s">
        <v>45</v>
      </c>
      <c r="V38" s="290" t="s">
        <v>235</v>
      </c>
      <c r="W38" s="290" t="s">
        <v>236</v>
      </c>
      <c r="X38" s="291" t="s">
        <v>237</v>
      </c>
      <c r="AC38" s="280" t="s">
        <v>229</v>
      </c>
      <c r="AD38" s="281" t="s">
        <v>74</v>
      </c>
      <c r="AE38" s="282"/>
      <c r="AF38" s="283"/>
      <c r="AG38" s="284" t="str">
        <f aca="true" t="shared" si="8" ref="AG38:AO38">AG30</f>
        <v>兵庫</v>
      </c>
      <c r="AH38" s="285" t="str">
        <f t="shared" si="8"/>
        <v>愛知</v>
      </c>
      <c r="AI38" s="285" t="str">
        <f t="shared" si="8"/>
        <v>京都</v>
      </c>
      <c r="AJ38" s="285" t="str">
        <f t="shared" si="8"/>
        <v>大阪A</v>
      </c>
      <c r="AK38" s="285" t="str">
        <f t="shared" si="8"/>
        <v>和歌山</v>
      </c>
      <c r="AL38" s="285" t="str">
        <f t="shared" si="8"/>
        <v>滋賀</v>
      </c>
      <c r="AM38" s="285" t="str">
        <f t="shared" si="8"/>
        <v>奈良</v>
      </c>
      <c r="AN38" s="285" t="str">
        <f t="shared" si="8"/>
        <v>三重</v>
      </c>
      <c r="AO38" s="285" t="str">
        <f t="shared" si="8"/>
        <v>岐阜</v>
      </c>
      <c r="AP38" s="285" t="str">
        <f>O6</f>
        <v>大阪B</v>
      </c>
      <c r="AQ38" s="286" t="s">
        <v>230</v>
      </c>
      <c r="AR38" s="287" t="s">
        <v>231</v>
      </c>
      <c r="AS38" s="287" t="s">
        <v>232</v>
      </c>
      <c r="AT38" s="287" t="s">
        <v>233</v>
      </c>
      <c r="AU38" s="288" t="s">
        <v>234</v>
      </c>
      <c r="AV38" s="289" t="s">
        <v>45</v>
      </c>
      <c r="AW38" s="290" t="s">
        <v>235</v>
      </c>
      <c r="AX38" s="290" t="s">
        <v>236</v>
      </c>
      <c r="AY38" s="291" t="s">
        <v>237</v>
      </c>
    </row>
    <row r="39" spans="1:54" ht="12.75" customHeight="1">
      <c r="A39" s="274">
        <v>1</v>
      </c>
      <c r="B39" s="315" t="str">
        <f>'ブロック表'!C8</f>
        <v>和歌山</v>
      </c>
      <c r="C39" s="316" t="str">
        <f>IF(B39="","",VLOOKUP(B39,'ブロック表'!$C$4:$N$15,3,FALSE))</f>
        <v>岸上 賢一</v>
      </c>
      <c r="D39" s="317"/>
      <c r="E39" s="318"/>
      <c r="F39" s="319">
        <f>'★(結果)④番手別＆総合成績'!F11</f>
        <v>43</v>
      </c>
      <c r="G39" s="320">
        <f>'★(結果)④番手別＆総合成績'!G11</f>
        <v>89</v>
      </c>
      <c r="H39" s="320">
        <f>'★(結果)④番手別＆総合成績'!H11</f>
        <v>24</v>
      </c>
      <c r="I39" s="320">
        <f>'★(結果)④番手別＆総合成績'!I11</f>
        <v>58</v>
      </c>
      <c r="J39" s="200"/>
      <c r="K39" s="320" t="str">
        <f>'★(結果)④番手別＆総合成績'!K11</f>
        <v>W</v>
      </c>
      <c r="L39" s="320" t="str">
        <f>'★(結果)④番手別＆総合成績'!L11</f>
        <v>W</v>
      </c>
      <c r="M39" s="320">
        <f>'★(結果)④番手別＆総合成績'!M11</f>
        <v>66</v>
      </c>
      <c r="N39" s="320" t="str">
        <f>'★(結果)④番手別＆総合成績'!N11</f>
        <v>W</v>
      </c>
      <c r="O39" s="297">
        <f>'★(結果)④番手別＆総合成績'!O11</f>
        <v>65</v>
      </c>
      <c r="P39" s="298">
        <f>IF(COUNTBLANK(F39:O39)=10,"",COUNTIF(F39:O39,"W"))</f>
        <v>3</v>
      </c>
      <c r="Q39" s="299">
        <f>IF(COUNTBLANK(F39:O39)=10,"",COUNT(F39:O39))</f>
        <v>6</v>
      </c>
      <c r="R39" s="300">
        <f>IF(COUNTBLANK(F39:O39)=10,"",SUM(F39:O39)+(P39*120))</f>
        <v>705</v>
      </c>
      <c r="S39" s="300"/>
      <c r="T39" s="301">
        <f>IF(COUNTBLANK(F39:O39)=10,"",IF(P39+Q39=0,"",RANK(X39,X39:X43,0)))</f>
        <v>4</v>
      </c>
      <c r="U39" s="302">
        <f>VLOOKUP(C39,'★(結果)④番手別＆総合成績'!$C$7:$AM$68,37,FALSE)</f>
      </c>
      <c r="V39" s="276">
        <f>COUNTA($F$6:$O$6)-1-W39</f>
        <v>9</v>
      </c>
      <c r="W39" s="276">
        <f>COUNTBLANK(F39:O39)-1</f>
        <v>0</v>
      </c>
      <c r="X39" s="276">
        <f>IF(P39="",0,P39*100000000+R39*10000-S39)</f>
        <v>307050000</v>
      </c>
      <c r="Y39" s="276">
        <f>IF(X39=0,"",IF(X39=MAX($X$39,$X$40,$X$41,$X$42,$X$43),1,""))</f>
      </c>
      <c r="Z39" s="276" t="str">
        <f>Y39&amp;B39</f>
        <v>和歌山</v>
      </c>
      <c r="AA39" s="276" t="str">
        <f>C39</f>
        <v>岸上 賢一</v>
      </c>
      <c r="AB39" s="274">
        <v>1</v>
      </c>
      <c r="AC39" s="315" t="str">
        <f>'ブロック表'!C13</f>
        <v>大阪B</v>
      </c>
      <c r="AD39" s="316" t="str">
        <f>IF(AC39="","",VLOOKUP(AC39,'ブロック表'!$C$4:$N$15,3,FALSE))</f>
        <v>由本 拓</v>
      </c>
      <c r="AE39" s="317"/>
      <c r="AF39" s="318"/>
      <c r="AG39" s="319">
        <f>'★(結果)④番手別＆総合成績'!F16</f>
        <v>113</v>
      </c>
      <c r="AH39" s="320">
        <f>'★(結果)④番手別＆総合成績'!G16</f>
        <v>52</v>
      </c>
      <c r="AI39" s="320" t="str">
        <f>'★(結果)④番手別＆総合成績'!H16</f>
        <v>W</v>
      </c>
      <c r="AJ39" s="320">
        <f>'★(結果)④番手別＆総合成績'!I16</f>
        <v>43</v>
      </c>
      <c r="AK39" s="200" t="str">
        <f>'★(結果)④番手別＆総合成績'!J16</f>
        <v>W</v>
      </c>
      <c r="AL39" s="320">
        <f>'★(結果)④番手別＆総合成績'!K16</f>
        <v>116</v>
      </c>
      <c r="AM39" s="320" t="str">
        <f>'★(結果)④番手別＆総合成績'!L16</f>
        <v>W</v>
      </c>
      <c r="AN39" s="320">
        <f>'★(結果)④番手別＆総合成績'!M16</f>
        <v>18</v>
      </c>
      <c r="AO39" s="320" t="str">
        <f>'★(結果)④番手別＆総合成績'!N16</f>
        <v>W</v>
      </c>
      <c r="AP39" s="297"/>
      <c r="AQ39" s="298">
        <f>IF(COUNTBLANK(AG39:AP39)=10,"",COUNTIF(AG39:AP39,"W"))</f>
        <v>4</v>
      </c>
      <c r="AR39" s="299">
        <f>IF(COUNTBLANK(AG39:AP39)=10,"",COUNT(AG39:AP39))</f>
        <v>5</v>
      </c>
      <c r="AS39" s="300">
        <f>IF(COUNTBLANK(AG39:AP39)=10,"",SUM(AG39:AP39)+(AQ39*120))</f>
        <v>822</v>
      </c>
      <c r="AT39" s="300"/>
      <c r="AU39" s="301">
        <f>IF(COUNTBLANK(AG39:AP39)=10,"",IF(AQ39+AR39=0,"",RANK(AY39,AY39:AY43,0)))</f>
        <v>2</v>
      </c>
      <c r="AV39" s="302">
        <f>VLOOKUP(AD39,'★(結果)④番手別＆総合成績'!$C$7:$AM$68,37,FALSE)</f>
      </c>
      <c r="AW39" s="276">
        <f>COUNTA($F$6:$O$6)-1-AX39</f>
        <v>9</v>
      </c>
      <c r="AX39" s="276">
        <f>COUNTBLANK(AG39:AP39)-1</f>
        <v>0</v>
      </c>
      <c r="AY39" s="276">
        <f>IF(AQ39="",0,AQ39*100000000+AS39*10000-AT39)</f>
        <v>408220000</v>
      </c>
      <c r="AZ39" s="276">
        <f>IF(AY39=0,"",IF(AY39=MAX($AY$39,$AY$40,$AY$41,$AY$42,$AY$43),1,""))</f>
      </c>
      <c r="BA39" s="276" t="str">
        <f>AZ39&amp;AC39</f>
        <v>大阪B</v>
      </c>
      <c r="BB39" s="276" t="str">
        <f>AD39</f>
        <v>由本 拓</v>
      </c>
    </row>
    <row r="40" spans="1:54" ht="12" customHeight="1">
      <c r="A40" s="274">
        <v>2</v>
      </c>
      <c r="B40" s="315" t="str">
        <f>B39</f>
        <v>和歌山</v>
      </c>
      <c r="C40" s="316" t="str">
        <f>IF(B40="","",VLOOKUP(B40,'ブロック表'!$C$4:$N$15,5,FALSE))</f>
        <v>末岡 修</v>
      </c>
      <c r="D40" s="317"/>
      <c r="E40" s="318"/>
      <c r="F40" s="319">
        <f>'★(結果)④番手別＆総合成績'!F24</f>
        <v>112</v>
      </c>
      <c r="G40" s="320" t="str">
        <f>'★(結果)④番手別＆総合成績'!G24</f>
        <v>W</v>
      </c>
      <c r="H40" s="320">
        <f>'★(結果)④番手別＆総合成績'!H24</f>
        <v>27</v>
      </c>
      <c r="I40" s="320" t="str">
        <f>'★(結果)④番手別＆総合成績'!I24</f>
        <v>W</v>
      </c>
      <c r="J40" s="200"/>
      <c r="K40" s="320">
        <f>'★(結果)④番手別＆総合成績'!K24</f>
        <v>116</v>
      </c>
      <c r="L40" s="320" t="str">
        <f>'★(結果)④番手別＆総合成績'!L24</f>
        <v>W</v>
      </c>
      <c r="M40" s="320">
        <f>'★(結果)④番手別＆総合成績'!M24</f>
        <v>13</v>
      </c>
      <c r="N40" s="320" t="str">
        <f>'★(結果)④番手別＆総合成績'!N24</f>
        <v>W</v>
      </c>
      <c r="O40" s="297" t="str">
        <f>'★(結果)④番手別＆総合成績'!O24</f>
        <v>W</v>
      </c>
      <c r="P40" s="298">
        <f>IF(COUNTBLANK(F40:O40)=10,"",COUNTIF(F40:O40,"W"))</f>
        <v>5</v>
      </c>
      <c r="Q40" s="299">
        <f>IF(COUNTBLANK(F40:O40)=10,"",COUNT(F40:O40))</f>
        <v>4</v>
      </c>
      <c r="R40" s="300">
        <f>IF(COUNTBLANK(F40:O40)=10,"",SUM(F40:O40)+(P40*120))</f>
        <v>868</v>
      </c>
      <c r="S40" s="300"/>
      <c r="T40" s="301">
        <f>IF(COUNTBLANK(F40:O40)=10,"",IF(P40+Q40=0,"",RANK(X40,X39:X43,0)))</f>
        <v>3</v>
      </c>
      <c r="U40" s="303">
        <f>VLOOKUP(C40,'★(結果)④番手別＆総合成績'!$C$7:$AM$68,37,FALSE)</f>
      </c>
      <c r="V40" s="276">
        <f>COUNTA($F$6:$O$6)-1-W40</f>
        <v>9</v>
      </c>
      <c r="W40" s="276">
        <f>COUNTBLANK(F40:O40)-1</f>
        <v>0</v>
      </c>
      <c r="X40" s="276">
        <f>IF(P40="",0,P40*100000000+R40*10000-S40)</f>
        <v>508680000</v>
      </c>
      <c r="Y40" s="276">
        <f>IF(X40=0,"",IF(X40=MAX($X$39,$X$40,$X$41,$X$42,$X$43),1,""))</f>
      </c>
      <c r="Z40" s="276" t="str">
        <f>Y40&amp;B40</f>
        <v>和歌山</v>
      </c>
      <c r="AA40" s="276" t="str">
        <f>C40</f>
        <v>末岡 修</v>
      </c>
      <c r="AB40" s="274">
        <v>2</v>
      </c>
      <c r="AC40" s="315" t="str">
        <f>AC39</f>
        <v>大阪B</v>
      </c>
      <c r="AD40" s="316" t="str">
        <f>IF(AC40="","",VLOOKUP(AC40,'ブロック表'!$C$4:$N$15,5,FALSE))</f>
        <v>西田 恵子</v>
      </c>
      <c r="AE40" s="317"/>
      <c r="AF40" s="318"/>
      <c r="AG40" s="319">
        <f>'★(結果)④番手別＆総合成績'!F29</f>
        <v>28</v>
      </c>
      <c r="AH40" s="320">
        <f>'★(結果)④番手別＆総合成績'!G29</f>
        <v>33</v>
      </c>
      <c r="AI40" s="320" t="str">
        <f>'★(結果)④番手別＆総合成績'!H29</f>
        <v>W</v>
      </c>
      <c r="AJ40" s="320">
        <f>'★(結果)④番手別＆総合成績'!I29</f>
        <v>109</v>
      </c>
      <c r="AK40" s="200">
        <f>'★(結果)④番手別＆総合成績'!J29</f>
        <v>30</v>
      </c>
      <c r="AL40" s="320">
        <f>'★(結果)④番手別＆総合成績'!K29</f>
        <v>114</v>
      </c>
      <c r="AM40" s="320" t="str">
        <f>'★(結果)④番手別＆総合成績'!L29</f>
        <v>W</v>
      </c>
      <c r="AN40" s="320">
        <f>'★(結果)④番手別＆総合成績'!M29</f>
        <v>56</v>
      </c>
      <c r="AO40" s="320">
        <f>'★(結果)④番手別＆総合成績'!N29</f>
        <v>118</v>
      </c>
      <c r="AP40" s="297"/>
      <c r="AQ40" s="298">
        <f>IF(COUNTBLANK(AG40:AP40)=10,"",COUNTIF(AG40:AP40,"W"))</f>
        <v>2</v>
      </c>
      <c r="AR40" s="299">
        <f>IF(COUNTBLANK(AG40:AP40)=10,"",COUNT(AG40:AP40))</f>
        <v>7</v>
      </c>
      <c r="AS40" s="300">
        <f>IF(COUNTBLANK(AG40:AP40)=10,"",SUM(AG40:AP40)+(AQ40*120))</f>
        <v>728</v>
      </c>
      <c r="AT40" s="300"/>
      <c r="AU40" s="301">
        <f>IF(COUNTBLANK(AG40:AP40)=10,"",IF(AQ40+AR40=0,"",RANK(AY40,AY39:AY43,0)))</f>
        <v>5</v>
      </c>
      <c r="AV40" s="303">
        <f>VLOOKUP(AD40,'★(結果)④番手別＆総合成績'!$C$7:$AM$68,37,FALSE)</f>
      </c>
      <c r="AW40" s="276">
        <f>COUNTA($F$6:$O$6)-1-AX40</f>
        <v>9</v>
      </c>
      <c r="AX40" s="276">
        <f>COUNTBLANK(AG40:AP40)-1</f>
        <v>0</v>
      </c>
      <c r="AY40" s="276">
        <f>IF(AQ40="",0,AQ40*100000000+AS40*10000-AT40)</f>
        <v>207280000</v>
      </c>
      <c r="AZ40" s="276">
        <f>IF(AY40=0,"",IF(AY40=MAX($AY$39,$AY$40,$AY$41,$AY$42,$AY$43),1,""))</f>
      </c>
      <c r="BA40" s="276" t="str">
        <f>AZ40&amp;AC40</f>
        <v>大阪B</v>
      </c>
      <c r="BB40" s="276" t="str">
        <f>AD40</f>
        <v>西田 恵子</v>
      </c>
    </row>
    <row r="41" spans="1:54" ht="12" customHeight="1">
      <c r="A41" s="274">
        <v>3</v>
      </c>
      <c r="B41" s="315" t="str">
        <f>B39</f>
        <v>和歌山</v>
      </c>
      <c r="C41" s="316" t="str">
        <f>IF(B41="","",VLOOKUP(B41,'ブロック表'!$C$4:$N$15,7,FALSE))</f>
        <v>杉本 博章</v>
      </c>
      <c r="D41" s="317"/>
      <c r="E41" s="318"/>
      <c r="F41" s="319" t="str">
        <f>'★(結果)④番手別＆総合成績'!F37</f>
        <v>W</v>
      </c>
      <c r="G41" s="320" t="str">
        <f>'★(結果)④番手別＆総合成績'!G37</f>
        <v>W</v>
      </c>
      <c r="H41" s="320">
        <f>'★(結果)④番手別＆総合成績'!H37</f>
        <v>85</v>
      </c>
      <c r="I41" s="320">
        <f>'★(結果)④番手別＆総合成績'!I37</f>
        <v>3</v>
      </c>
      <c r="J41" s="200"/>
      <c r="K41" s="320" t="str">
        <f>'★(結果)④番手別＆総合成績'!K37</f>
        <v>W</v>
      </c>
      <c r="L41" s="320" t="str">
        <f>'★(結果)④番手別＆総合成績'!L37</f>
        <v>W</v>
      </c>
      <c r="M41" s="320">
        <f>'★(結果)④番手別＆総合成績'!M37</f>
        <v>79</v>
      </c>
      <c r="N41" s="320" t="str">
        <f>'★(結果)④番手別＆総合成績'!N37</f>
        <v>W</v>
      </c>
      <c r="O41" s="297" t="str">
        <f>'★(結果)④番手別＆総合成績'!O37</f>
        <v>W</v>
      </c>
      <c r="P41" s="298">
        <f>IF(COUNTBLANK(F41:O41)=10,"",COUNTIF(F41:O41,"W"))</f>
        <v>6</v>
      </c>
      <c r="Q41" s="299">
        <f>IF(COUNTBLANK(F41:O41)=10,"",COUNT(F41:O41))</f>
        <v>3</v>
      </c>
      <c r="R41" s="300">
        <f>IF(COUNTBLANK(F41:O41)=10,"",SUM(F41:O41)+(P41*120))</f>
        <v>887</v>
      </c>
      <c r="S41" s="300"/>
      <c r="T41" s="301">
        <f>IF(COUNTBLANK(F41:O41)=10,"",IF(P41+Q41=0,"",RANK(X41,X39:X43,0)))</f>
        <v>1</v>
      </c>
      <c r="U41" s="303">
        <f>VLOOKUP(C41,'★(結果)④番手別＆総合成績'!$C$7:$AM$68,37,FALSE)</f>
        <v>123</v>
      </c>
      <c r="V41" s="276">
        <f>COUNTA($F$6:$O$6)-1-W41</f>
        <v>9</v>
      </c>
      <c r="W41" s="276">
        <f>COUNTBLANK(F41:O41)-1</f>
        <v>0</v>
      </c>
      <c r="X41" s="276">
        <f>IF(P41="",0,P41*100000000+R41*10000-S41)</f>
        <v>608870000</v>
      </c>
      <c r="Y41" s="276">
        <f>IF(X41=0,"",IF(X41=MAX($X$39,$X$40,$X$41,$X$42,$X$43),1,""))</f>
        <v>1</v>
      </c>
      <c r="Z41" s="276" t="str">
        <f>Y41&amp;B41</f>
        <v>1和歌山</v>
      </c>
      <c r="AA41" s="276" t="str">
        <f>C41</f>
        <v>杉本 博章</v>
      </c>
      <c r="AB41" s="274">
        <v>3</v>
      </c>
      <c r="AC41" s="315" t="str">
        <f>AC39</f>
        <v>大阪B</v>
      </c>
      <c r="AD41" s="316" t="str">
        <f>IF(AC41="","",VLOOKUP(AC41,'ブロック表'!$C$4:$N$15,7,FALSE))</f>
        <v>野村 宗司</v>
      </c>
      <c r="AE41" s="317"/>
      <c r="AF41" s="318"/>
      <c r="AG41" s="319" t="str">
        <f>'★(結果)④番手別＆総合成績'!F42</f>
        <v>W</v>
      </c>
      <c r="AH41" s="320">
        <f>'★(結果)④番手別＆総合成績'!G42</f>
        <v>105</v>
      </c>
      <c r="AI41" s="320" t="str">
        <f>'★(結果)④番手別＆総合成績'!H42</f>
        <v>W</v>
      </c>
      <c r="AJ41" s="320">
        <f>'★(結果)④番手別＆総合成績'!I42</f>
        <v>26</v>
      </c>
      <c r="AK41" s="200">
        <f>'★(結果)④番手別＆総合成績'!J42</f>
        <v>13</v>
      </c>
      <c r="AL41" s="320">
        <f>'★(結果)④番手別＆総合成績'!K42</f>
        <v>0</v>
      </c>
      <c r="AM41" s="320">
        <f>'★(結果)④番手別＆総合成績'!L42</f>
        <v>96</v>
      </c>
      <c r="AN41" s="320" t="str">
        <f>'★(結果)④番手別＆総合成績'!M42</f>
        <v>W</v>
      </c>
      <c r="AO41" s="320">
        <f>'★(結果)④番手別＆総合成績'!N42</f>
        <v>0</v>
      </c>
      <c r="AP41" s="297"/>
      <c r="AQ41" s="298">
        <f>IF(COUNTBLANK(AG41:AP41)=10,"",COUNTIF(AG41:AP41,"W"))</f>
        <v>3</v>
      </c>
      <c r="AR41" s="299">
        <f>IF(COUNTBLANK(AG41:AP41)=10,"",COUNT(AG41:AP41))</f>
        <v>6</v>
      </c>
      <c r="AS41" s="300">
        <f>IF(COUNTBLANK(AG41:AP41)=10,"",SUM(AG41:AP41)+(AQ41*120))</f>
        <v>600</v>
      </c>
      <c r="AT41" s="300"/>
      <c r="AU41" s="301">
        <f>IF(COUNTBLANK(AG41:AP41)=10,"",IF(AQ41+AR41=0,"",RANK(AY41,AY39:AY43,0)))</f>
        <v>4</v>
      </c>
      <c r="AV41" s="303">
        <f>VLOOKUP(AD41,'★(結果)④番手別＆総合成績'!$C$7:$AM$68,37,FALSE)</f>
      </c>
      <c r="AW41" s="276">
        <f>COUNTA($F$6:$O$6)-1-AX41</f>
        <v>9</v>
      </c>
      <c r="AX41" s="276">
        <f>COUNTBLANK(AG41:AP41)-1</f>
        <v>0</v>
      </c>
      <c r="AY41" s="276">
        <f>IF(AQ41="",0,AQ41*100000000+AS41*10000-AT41)</f>
        <v>306000000</v>
      </c>
      <c r="AZ41" s="276">
        <f>IF(AY41=0,"",IF(AY41=MAX($AY$39,$AY$40,$AY$41,$AY$42,$AY$43),1,""))</f>
      </c>
      <c r="BA41" s="276" t="str">
        <f>AZ41&amp;AC41</f>
        <v>大阪B</v>
      </c>
      <c r="BB41" s="276" t="str">
        <f>AD41</f>
        <v>野村 宗司</v>
      </c>
    </row>
    <row r="42" spans="1:54" ht="12" customHeight="1">
      <c r="A42" s="274">
        <v>4</v>
      </c>
      <c r="B42" s="315" t="str">
        <f>B39</f>
        <v>和歌山</v>
      </c>
      <c r="C42" s="316" t="str">
        <f>IF(B42="","",VLOOKUP(B42,'ブロック表'!$C$4:$N$15,9,FALSE))</f>
        <v>丹次 力良</v>
      </c>
      <c r="D42" s="317"/>
      <c r="E42" s="318"/>
      <c r="F42" s="319">
        <f>'★(結果)④番手別＆総合成績'!F50</f>
        <v>27</v>
      </c>
      <c r="G42" s="320">
        <f>'★(結果)④番手別＆総合成績'!G50</f>
        <v>13</v>
      </c>
      <c r="H42" s="320">
        <f>'★(結果)④番手別＆総合成績'!H50</f>
        <v>47</v>
      </c>
      <c r="I42" s="320">
        <f>'★(結果)④番手別＆総合成績'!I50</f>
        <v>93</v>
      </c>
      <c r="J42" s="200"/>
      <c r="K42" s="320">
        <f>'★(結果)④番手別＆総合成績'!K50</f>
        <v>97</v>
      </c>
      <c r="L42" s="320">
        <f>'★(結果)④番手別＆総合成績'!L50</f>
        <v>67</v>
      </c>
      <c r="M42" s="320">
        <f>'★(結果)④番手別＆総合成績'!M50</f>
        <v>53</v>
      </c>
      <c r="N42" s="320">
        <f>'★(結果)④番手別＆総合成績'!N50</f>
        <v>116</v>
      </c>
      <c r="O42" s="297">
        <f>'★(結果)④番手別＆総合成績'!O50</f>
        <v>63</v>
      </c>
      <c r="P42" s="298">
        <f>IF(COUNTBLANK(F42:O42)=10,"",COUNTIF(F42:O42,"W"))</f>
        <v>0</v>
      </c>
      <c r="Q42" s="299">
        <f>IF(COUNTBLANK(F42:O42)=10,"",COUNT(F42:O42))</f>
        <v>9</v>
      </c>
      <c r="R42" s="300">
        <f>IF(COUNTBLANK(F42:O42)=10,"",SUM(F42:O42)+(P42*120))</f>
        <v>576</v>
      </c>
      <c r="S42" s="300"/>
      <c r="T42" s="301">
        <f>IF(COUNTBLANK(F42:O42)=10,"",IF(P42+Q42=0,"",RANK(X42,X39:X43,0)))</f>
        <v>5</v>
      </c>
      <c r="U42" s="303">
        <f>VLOOKUP(C42,'★(結果)④番手別＆総合成績'!$C$7:$AM$68,37,FALSE)</f>
      </c>
      <c r="V42" s="276">
        <f>COUNTA($F$6:$O$6)-1-W42</f>
        <v>9</v>
      </c>
      <c r="W42" s="276">
        <f>COUNTBLANK(F42:O42)-1</f>
        <v>0</v>
      </c>
      <c r="X42" s="276">
        <f>IF(P42="",0,P42*100000000+R42*10000-S42)</f>
        <v>5760000</v>
      </c>
      <c r="Y42" s="276">
        <f>IF(X42=0,"",IF(X42=MAX($X$39,$X$40,$X$41,$X$42,$X$43),1,""))</f>
      </c>
      <c r="Z42" s="276" t="str">
        <f>Y42&amp;B42</f>
        <v>和歌山</v>
      </c>
      <c r="AA42" s="276" t="str">
        <f>C42</f>
        <v>丹次 力良</v>
      </c>
      <c r="AB42" s="274">
        <v>4</v>
      </c>
      <c r="AC42" s="315" t="str">
        <f>AC39</f>
        <v>大阪B</v>
      </c>
      <c r="AD42" s="316" t="str">
        <f>IF(AC42="","",VLOOKUP(AC42,'ブロック表'!$C$4:$N$15,9,FALSE))</f>
        <v>山崎 真紀子</v>
      </c>
      <c r="AE42" s="317"/>
      <c r="AF42" s="318"/>
      <c r="AG42" s="319">
        <f>'★(結果)④番手別＆総合成績'!F55</f>
        <v>13</v>
      </c>
      <c r="AH42" s="320">
        <f>'★(結果)④番手別＆総合成績'!G55</f>
        <v>86</v>
      </c>
      <c r="AI42" s="320">
        <f>'★(結果)④番手別＆総合成績'!H55</f>
        <v>46</v>
      </c>
      <c r="AJ42" s="320">
        <f>'★(結果)④番手別＆総合成績'!I55</f>
        <v>15</v>
      </c>
      <c r="AK42" s="200" t="str">
        <f>'★(結果)④番手別＆総合成績'!J55</f>
        <v>W</v>
      </c>
      <c r="AL42" s="320" t="str">
        <f>'★(結果)④番手別＆総合成績'!K55</f>
        <v>W</v>
      </c>
      <c r="AM42" s="320" t="str">
        <f>'★(結果)④番手別＆総合成績'!L55</f>
        <v>W</v>
      </c>
      <c r="AN42" s="320" t="str">
        <f>'★(結果)④番手別＆総合成績'!M55</f>
        <v>W</v>
      </c>
      <c r="AO42" s="320">
        <f>'★(結果)④番手別＆総合成績'!N55</f>
        <v>35</v>
      </c>
      <c r="AP42" s="297"/>
      <c r="AQ42" s="298">
        <f>IF(COUNTBLANK(AG42:AP42)=10,"",COUNTIF(AG42:AP42,"W"))</f>
        <v>4</v>
      </c>
      <c r="AR42" s="299">
        <f>IF(COUNTBLANK(AG42:AP42)=10,"",COUNT(AG42:AP42))</f>
        <v>5</v>
      </c>
      <c r="AS42" s="300">
        <f>IF(COUNTBLANK(AG42:AP42)=10,"",SUM(AG42:AP42)+(AQ42*120))</f>
        <v>675</v>
      </c>
      <c r="AT42" s="300"/>
      <c r="AU42" s="301">
        <f>IF(COUNTBLANK(AG42:AP42)=10,"",IF(AQ42+AR42=0,"",RANK(AY42,AY39:AY43,0)))</f>
        <v>3</v>
      </c>
      <c r="AV42" s="303">
        <f>VLOOKUP(AD42,'★(結果)④番手別＆総合成績'!$C$7:$AM$68,37,FALSE)</f>
      </c>
      <c r="AW42" s="276">
        <f>COUNTA($F$6:$O$6)-1-AX42</f>
        <v>9</v>
      </c>
      <c r="AX42" s="276">
        <f>COUNTBLANK(AG42:AP42)-1</f>
        <v>0</v>
      </c>
      <c r="AY42" s="276">
        <f>IF(AQ42="",0,AQ42*100000000+AS42*10000-AT42)</f>
        <v>406750000</v>
      </c>
      <c r="AZ42" s="276">
        <f>IF(AY42=0,"",IF(AY42=MAX($AY$39,$AY$40,$AY$41,$AY$42,$AY$43),1,""))</f>
      </c>
      <c r="BA42" s="276" t="str">
        <f>AZ42&amp;AC42</f>
        <v>大阪B</v>
      </c>
      <c r="BB42" s="276" t="str">
        <f>AD42</f>
        <v>山崎 真紀子</v>
      </c>
    </row>
    <row r="43" spans="1:54" ht="12.75" customHeight="1">
      <c r="A43" s="274">
        <v>5</v>
      </c>
      <c r="B43" s="321" t="str">
        <f>B39</f>
        <v>和歌山</v>
      </c>
      <c r="C43" s="322" t="str">
        <f>IF(B43="","",VLOOKUP(B43,'ブロック表'!$C$4:$N$15,11,FALSE))</f>
        <v>和田 宗一郎</v>
      </c>
      <c r="D43" s="323"/>
      <c r="E43" s="324"/>
      <c r="F43" s="325" t="str">
        <f>'★(結果)④番手別＆総合成績'!F63</f>
        <v>W</v>
      </c>
      <c r="G43" s="327">
        <f>'★(結果)④番手別＆総合成績'!G63</f>
        <v>111</v>
      </c>
      <c r="H43" s="327" t="str">
        <f>'★(結果)④番手別＆総合成績'!H63</f>
        <v>W</v>
      </c>
      <c r="I43" s="327">
        <f>'★(結果)④番手別＆総合成績'!I63</f>
        <v>51</v>
      </c>
      <c r="J43" s="326"/>
      <c r="K43" s="327" t="str">
        <f>'★(結果)④番手別＆総合成績'!K63</f>
        <v>W</v>
      </c>
      <c r="L43" s="327">
        <f>'★(結果)④番手別＆総合成績'!L63</f>
        <v>53</v>
      </c>
      <c r="M43" s="327" t="str">
        <f>'★(結果)④番手別＆総合成績'!M63</f>
        <v>W</v>
      </c>
      <c r="N43" s="327">
        <f>'★(結果)④番手別＆総合成績'!N63</f>
        <v>98</v>
      </c>
      <c r="O43" s="309" t="str">
        <f>'★(結果)④番手別＆総合成績'!O63</f>
        <v>W</v>
      </c>
      <c r="P43" s="310">
        <f>IF(COUNTBLANK(F43:O43)=10,"",COUNTIF(F43:O43,"W"))</f>
        <v>5</v>
      </c>
      <c r="Q43" s="311">
        <f>IF(COUNTBLANK(F43:O43)=10,"",COUNT(F43:O43))</f>
        <v>4</v>
      </c>
      <c r="R43" s="312">
        <f>IF(COUNTBLANK(F43:O43)=10,"",SUM(F43:O43)+(P43*120))</f>
        <v>913</v>
      </c>
      <c r="S43" s="312"/>
      <c r="T43" s="313">
        <f>IF(COUNTBLANK(F43:O43)=10,"",IF(P43+Q43=0,"",RANK(X43,X39:X43,0)))</f>
        <v>2</v>
      </c>
      <c r="U43" s="314">
        <f>VLOOKUP(C43,'★(結果)④番手別＆総合成績'!$C$7:$AM$68,37,FALSE)</f>
      </c>
      <c r="V43" s="276">
        <f>COUNTA($F$6:$O$6)-1-W43</f>
        <v>9</v>
      </c>
      <c r="W43" s="276">
        <f>COUNTBLANK(F43:O43)-1</f>
        <v>0</v>
      </c>
      <c r="X43" s="276">
        <f>IF(P43="",0,P43*100000000+R43*10000-S43)</f>
        <v>509130000</v>
      </c>
      <c r="Y43" s="276">
        <f>IF(X43=0,"",IF(X43=MAX($X$39,$X$40,$X$41,$X$42,$X$43),1,""))</f>
      </c>
      <c r="Z43" s="276" t="str">
        <f>Y43&amp;B43</f>
        <v>和歌山</v>
      </c>
      <c r="AA43" s="276" t="str">
        <f>C43</f>
        <v>和田 宗一郎</v>
      </c>
      <c r="AB43" s="274">
        <v>5</v>
      </c>
      <c r="AC43" s="321" t="str">
        <f>AC39</f>
        <v>大阪B</v>
      </c>
      <c r="AD43" s="322" t="str">
        <f>IF(AC43="","",VLOOKUP(AC43,'ブロック表'!$C$4:$N$15,11,FALSE))</f>
        <v>小森 雅昭</v>
      </c>
      <c r="AE43" s="323"/>
      <c r="AF43" s="324"/>
      <c r="AG43" s="325" t="str">
        <f>'★(結果)④番手別＆総合成績'!F68</f>
        <v>W</v>
      </c>
      <c r="AH43" s="327">
        <f>'★(結果)④番手別＆総合成績'!G68</f>
        <v>115</v>
      </c>
      <c r="AI43" s="327" t="str">
        <f>'★(結果)④番手別＆総合成績'!H68</f>
        <v>W</v>
      </c>
      <c r="AJ43" s="327">
        <f>'★(結果)④番手別＆総合成績'!I68</f>
        <v>90</v>
      </c>
      <c r="AK43" s="326">
        <f>'★(結果)④番手別＆総合成績'!J68</f>
        <v>118</v>
      </c>
      <c r="AL43" s="327">
        <f>'★(結果)④番手別＆総合成績'!K68</f>
        <v>85</v>
      </c>
      <c r="AM43" s="327" t="str">
        <f>'★(結果)④番手別＆総合成績'!L68</f>
        <v>W</v>
      </c>
      <c r="AN43" s="327">
        <f>'★(結果)④番手別＆総合成績'!M68</f>
        <v>34</v>
      </c>
      <c r="AO43" s="327" t="str">
        <f>'★(結果)④番手別＆総合成績'!N68</f>
        <v>W</v>
      </c>
      <c r="AP43" s="309"/>
      <c r="AQ43" s="310">
        <f>IF(COUNTBLANK(AG43:AP43)=10,"",COUNTIF(AG43:AP43,"W"))</f>
        <v>4</v>
      </c>
      <c r="AR43" s="311">
        <f>IF(COUNTBLANK(AG43:AP43)=10,"",COUNT(AG43:AP43))</f>
        <v>5</v>
      </c>
      <c r="AS43" s="312">
        <f>IF(COUNTBLANK(AG43:AP43)=10,"",SUM(AG43:AP43)+(AQ43*120))</f>
        <v>922</v>
      </c>
      <c r="AT43" s="312"/>
      <c r="AU43" s="313">
        <f>IF(COUNTBLANK(AG43:AP43)=10,"",IF(AQ43+AR43=0,"",RANK(AY43,AY39:AY43,0)))</f>
        <v>1</v>
      </c>
      <c r="AV43" s="314">
        <f>VLOOKUP(AD43,'★(結果)④番手別＆総合成績'!$C$7:$AM$68,37,FALSE)</f>
      </c>
      <c r="AW43" s="276">
        <f>COUNTA($F$6:$O$6)-1-AX43</f>
        <v>9</v>
      </c>
      <c r="AX43" s="276">
        <f>COUNTBLANK(AG43:AP43)-1</f>
        <v>0</v>
      </c>
      <c r="AY43" s="276">
        <f>IF(AQ43="",0,AQ43*100000000+AS43*10000-AT43)</f>
        <v>409220000</v>
      </c>
      <c r="AZ43" s="276">
        <f>IF(AY43=0,"",IF(AY43=MAX($AY$39,$AY$40,$AY$41,$AY$42,$AY$43),1,""))</f>
        <v>1</v>
      </c>
      <c r="BA43" s="276" t="str">
        <f>AZ43&amp;AC43</f>
        <v>1大阪B</v>
      </c>
      <c r="BB43" s="276" t="str">
        <f>AD43</f>
        <v>小森 雅昭</v>
      </c>
    </row>
    <row r="84" spans="2:54" ht="12" customHeight="1">
      <c r="B84" s="274"/>
      <c r="C84" s="274"/>
      <c r="D84" s="274"/>
      <c r="F84" s="274"/>
      <c r="G84" s="274"/>
      <c r="H84" s="274"/>
      <c r="I84" s="274"/>
      <c r="J84" s="274"/>
      <c r="K84" s="274"/>
      <c r="L84" s="274"/>
      <c r="M84" s="274"/>
      <c r="N84" s="274"/>
      <c r="O84" s="274"/>
      <c r="P84" s="274"/>
      <c r="Q84" s="274"/>
      <c r="T84" s="274"/>
      <c r="U84" s="274"/>
      <c r="X84" s="274"/>
      <c r="Y84" s="274"/>
      <c r="Z84" s="274"/>
      <c r="AA84" s="274"/>
      <c r="AC84" s="274"/>
      <c r="AD84" s="274"/>
      <c r="AE84" s="274"/>
      <c r="AG84" s="274"/>
      <c r="AH84" s="274"/>
      <c r="AI84" s="274"/>
      <c r="AJ84" s="274"/>
      <c r="AK84" s="274"/>
      <c r="AL84" s="274"/>
      <c r="AM84" s="274"/>
      <c r="AN84" s="274"/>
      <c r="AO84" s="274"/>
      <c r="AP84" s="274"/>
      <c r="AQ84" s="274"/>
      <c r="AR84" s="274"/>
      <c r="AU84" s="274"/>
      <c r="AV84" s="274"/>
      <c r="AY84" s="274"/>
      <c r="AZ84" s="274"/>
      <c r="BA84" s="274"/>
      <c r="BB84" s="274"/>
    </row>
    <row r="85" spans="2:54" ht="12" customHeight="1">
      <c r="B85" s="274"/>
      <c r="C85" s="274"/>
      <c r="D85" s="274"/>
      <c r="F85" s="274"/>
      <c r="G85" s="274"/>
      <c r="H85" s="274"/>
      <c r="I85" s="274"/>
      <c r="J85" s="274"/>
      <c r="K85" s="274"/>
      <c r="L85" s="274"/>
      <c r="M85" s="274"/>
      <c r="N85" s="274"/>
      <c r="O85" s="274"/>
      <c r="P85" s="274"/>
      <c r="Q85" s="274"/>
      <c r="T85" s="274"/>
      <c r="U85" s="274"/>
      <c r="X85" s="274"/>
      <c r="Y85" s="274"/>
      <c r="Z85" s="274"/>
      <c r="AA85" s="274"/>
      <c r="AC85" s="274"/>
      <c r="AD85" s="274"/>
      <c r="AE85" s="274"/>
      <c r="AG85" s="274"/>
      <c r="AH85" s="274"/>
      <c r="AI85" s="274"/>
      <c r="AJ85" s="274"/>
      <c r="AK85" s="274"/>
      <c r="AL85" s="274"/>
      <c r="AM85" s="274"/>
      <c r="AN85" s="274"/>
      <c r="AO85" s="274"/>
      <c r="AP85" s="274"/>
      <c r="AQ85" s="274"/>
      <c r="AR85" s="274"/>
      <c r="AU85" s="274"/>
      <c r="AV85" s="274"/>
      <c r="AY85" s="274"/>
      <c r="AZ85" s="274"/>
      <c r="BA85" s="274"/>
      <c r="BB85" s="274"/>
    </row>
    <row r="86" spans="2:54" ht="12" customHeight="1">
      <c r="B86" s="274"/>
      <c r="C86" s="274"/>
      <c r="D86" s="274"/>
      <c r="F86" s="274"/>
      <c r="G86" s="274"/>
      <c r="H86" s="274"/>
      <c r="I86" s="274"/>
      <c r="J86" s="274"/>
      <c r="K86" s="274"/>
      <c r="L86" s="274"/>
      <c r="M86" s="274"/>
      <c r="N86" s="274"/>
      <c r="O86" s="274"/>
      <c r="P86" s="274"/>
      <c r="Q86" s="274"/>
      <c r="T86" s="274"/>
      <c r="U86" s="274"/>
      <c r="X86" s="274"/>
      <c r="Y86" s="274"/>
      <c r="Z86" s="274"/>
      <c r="AA86" s="274"/>
      <c r="AC86" s="274"/>
      <c r="AD86" s="274"/>
      <c r="AE86" s="274"/>
      <c r="AG86" s="274"/>
      <c r="AH86" s="274"/>
      <c r="AI86" s="274"/>
      <c r="AJ86" s="274"/>
      <c r="AK86" s="274"/>
      <c r="AL86" s="274"/>
      <c r="AM86" s="274"/>
      <c r="AN86" s="274"/>
      <c r="AO86" s="274"/>
      <c r="AP86" s="274"/>
      <c r="AQ86" s="274"/>
      <c r="AR86" s="274"/>
      <c r="AU86" s="274"/>
      <c r="AV86" s="274"/>
      <c r="AY86" s="274"/>
      <c r="AZ86" s="274"/>
      <c r="BA86" s="274"/>
      <c r="BB86" s="274"/>
    </row>
    <row r="90" spans="2:54" ht="12" customHeight="1">
      <c r="B90" s="274"/>
      <c r="C90" s="274"/>
      <c r="D90" s="274"/>
      <c r="F90" s="274"/>
      <c r="G90" s="274"/>
      <c r="H90" s="274"/>
      <c r="I90" s="274"/>
      <c r="J90" s="274"/>
      <c r="K90" s="274"/>
      <c r="L90" s="274"/>
      <c r="M90" s="274"/>
      <c r="N90" s="274"/>
      <c r="O90" s="274"/>
      <c r="P90" s="274"/>
      <c r="Q90" s="274"/>
      <c r="T90" s="274"/>
      <c r="U90" s="274"/>
      <c r="X90" s="274"/>
      <c r="Y90" s="274"/>
      <c r="Z90" s="274"/>
      <c r="AA90" s="274"/>
      <c r="AC90" s="274"/>
      <c r="AD90" s="274"/>
      <c r="AE90" s="274"/>
      <c r="AG90" s="274"/>
      <c r="AH90" s="274"/>
      <c r="AI90" s="274"/>
      <c r="AJ90" s="274"/>
      <c r="AK90" s="274"/>
      <c r="AL90" s="274"/>
      <c r="AM90" s="274"/>
      <c r="AN90" s="274"/>
      <c r="AO90" s="274"/>
      <c r="AP90" s="274"/>
      <c r="AQ90" s="274"/>
      <c r="AR90" s="274"/>
      <c r="AU90" s="274"/>
      <c r="AV90" s="274"/>
      <c r="AY90" s="274"/>
      <c r="AZ90" s="274"/>
      <c r="BA90" s="274"/>
      <c r="BB90" s="274"/>
    </row>
    <row r="91" spans="2:54" ht="12" customHeight="1">
      <c r="B91" s="274"/>
      <c r="C91" s="274"/>
      <c r="D91" s="274"/>
      <c r="F91" s="274"/>
      <c r="G91" s="274"/>
      <c r="H91" s="274"/>
      <c r="I91" s="274"/>
      <c r="J91" s="274"/>
      <c r="K91" s="274"/>
      <c r="L91" s="274"/>
      <c r="M91" s="274"/>
      <c r="N91" s="274"/>
      <c r="O91" s="274"/>
      <c r="P91" s="274"/>
      <c r="Q91" s="274"/>
      <c r="T91" s="274"/>
      <c r="U91" s="274"/>
      <c r="X91" s="274"/>
      <c r="Y91" s="274"/>
      <c r="Z91" s="274"/>
      <c r="AA91" s="274"/>
      <c r="AC91" s="274"/>
      <c r="AD91" s="274"/>
      <c r="AE91" s="274"/>
      <c r="AG91" s="274"/>
      <c r="AH91" s="274"/>
      <c r="AI91" s="274"/>
      <c r="AJ91" s="274"/>
      <c r="AK91" s="274"/>
      <c r="AL91" s="274"/>
      <c r="AM91" s="274"/>
      <c r="AN91" s="274"/>
      <c r="AO91" s="274"/>
      <c r="AP91" s="274"/>
      <c r="AQ91" s="274"/>
      <c r="AR91" s="274"/>
      <c r="AU91" s="274"/>
      <c r="AV91" s="274"/>
      <c r="AY91" s="274"/>
      <c r="AZ91" s="274"/>
      <c r="BA91" s="274"/>
      <c r="BB91" s="274"/>
    </row>
    <row r="92" spans="2:54" ht="12" customHeight="1">
      <c r="B92" s="274"/>
      <c r="C92" s="274"/>
      <c r="D92" s="274"/>
      <c r="F92" s="274"/>
      <c r="G92" s="274"/>
      <c r="H92" s="274"/>
      <c r="I92" s="274"/>
      <c r="J92" s="274"/>
      <c r="K92" s="274"/>
      <c r="L92" s="274"/>
      <c r="M92" s="274"/>
      <c r="N92" s="274"/>
      <c r="O92" s="274"/>
      <c r="P92" s="274"/>
      <c r="Q92" s="274"/>
      <c r="T92" s="274"/>
      <c r="U92" s="274"/>
      <c r="X92" s="274"/>
      <c r="Y92" s="274"/>
      <c r="Z92" s="274"/>
      <c r="AA92" s="274"/>
      <c r="AC92" s="274"/>
      <c r="AD92" s="274"/>
      <c r="AE92" s="274"/>
      <c r="AG92" s="274"/>
      <c r="AH92" s="274"/>
      <c r="AI92" s="274"/>
      <c r="AJ92" s="274"/>
      <c r="AK92" s="274"/>
      <c r="AL92" s="274"/>
      <c r="AM92" s="274"/>
      <c r="AN92" s="274"/>
      <c r="AO92" s="274"/>
      <c r="AP92" s="274"/>
      <c r="AQ92" s="274"/>
      <c r="AR92" s="274"/>
      <c r="AU92" s="274"/>
      <c r="AV92" s="274"/>
      <c r="AY92" s="274"/>
      <c r="AZ92" s="274"/>
      <c r="BA92" s="274"/>
      <c r="BB92" s="274"/>
    </row>
    <row r="93" spans="2:54" ht="12" customHeight="1">
      <c r="B93" s="274"/>
      <c r="C93" s="274"/>
      <c r="D93" s="274"/>
      <c r="F93" s="274"/>
      <c r="G93" s="274"/>
      <c r="H93" s="274"/>
      <c r="I93" s="274"/>
      <c r="J93" s="274"/>
      <c r="K93" s="274"/>
      <c r="L93" s="274"/>
      <c r="M93" s="274"/>
      <c r="N93" s="274"/>
      <c r="O93" s="274"/>
      <c r="P93" s="274"/>
      <c r="Q93" s="274"/>
      <c r="T93" s="274"/>
      <c r="U93" s="274"/>
      <c r="X93" s="274"/>
      <c r="Y93" s="274"/>
      <c r="Z93" s="274"/>
      <c r="AA93" s="274"/>
      <c r="AC93" s="274"/>
      <c r="AD93" s="274"/>
      <c r="AE93" s="274"/>
      <c r="AG93" s="274"/>
      <c r="AH93" s="274"/>
      <c r="AI93" s="274"/>
      <c r="AJ93" s="274"/>
      <c r="AK93" s="274"/>
      <c r="AL93" s="274"/>
      <c r="AM93" s="274"/>
      <c r="AN93" s="274"/>
      <c r="AO93" s="274"/>
      <c r="AP93" s="274"/>
      <c r="AQ93" s="274"/>
      <c r="AR93" s="274"/>
      <c r="AU93" s="274"/>
      <c r="AV93" s="274"/>
      <c r="AY93" s="274"/>
      <c r="AZ93" s="274"/>
      <c r="BA93" s="274"/>
      <c r="BB93" s="274"/>
    </row>
    <row r="94" spans="2:54" ht="12" customHeight="1">
      <c r="B94" s="274"/>
      <c r="C94" s="274"/>
      <c r="D94" s="274"/>
      <c r="F94" s="274"/>
      <c r="G94" s="274"/>
      <c r="H94" s="274"/>
      <c r="I94" s="274"/>
      <c r="J94" s="274"/>
      <c r="K94" s="274"/>
      <c r="L94" s="274"/>
      <c r="M94" s="274"/>
      <c r="N94" s="274"/>
      <c r="O94" s="274"/>
      <c r="P94" s="274"/>
      <c r="Q94" s="274"/>
      <c r="T94" s="274"/>
      <c r="U94" s="274"/>
      <c r="X94" s="274"/>
      <c r="Y94" s="274"/>
      <c r="Z94" s="274"/>
      <c r="AA94" s="274"/>
      <c r="AC94" s="274"/>
      <c r="AD94" s="274"/>
      <c r="AE94" s="274"/>
      <c r="AG94" s="274"/>
      <c r="AH94" s="274"/>
      <c r="AI94" s="274"/>
      <c r="AJ94" s="274"/>
      <c r="AK94" s="274"/>
      <c r="AL94" s="274"/>
      <c r="AM94" s="274"/>
      <c r="AN94" s="274"/>
      <c r="AO94" s="274"/>
      <c r="AP94" s="274"/>
      <c r="AQ94" s="274"/>
      <c r="AR94" s="274"/>
      <c r="AU94" s="274"/>
      <c r="AV94" s="274"/>
      <c r="AY94" s="274"/>
      <c r="AZ94" s="274"/>
      <c r="BA94" s="274"/>
      <c r="BB94" s="274"/>
    </row>
    <row r="98" spans="2:54" ht="12" customHeight="1">
      <c r="B98" s="274"/>
      <c r="C98" s="274"/>
      <c r="D98" s="274"/>
      <c r="F98" s="274"/>
      <c r="G98" s="274"/>
      <c r="H98" s="274"/>
      <c r="I98" s="274"/>
      <c r="J98" s="274"/>
      <c r="K98" s="274"/>
      <c r="L98" s="274"/>
      <c r="M98" s="274"/>
      <c r="N98" s="274"/>
      <c r="O98" s="274"/>
      <c r="P98" s="274"/>
      <c r="Q98" s="274"/>
      <c r="T98" s="274"/>
      <c r="U98" s="274"/>
      <c r="X98" s="274"/>
      <c r="Y98" s="274"/>
      <c r="Z98" s="274"/>
      <c r="AA98" s="274"/>
      <c r="AC98" s="274"/>
      <c r="AD98" s="274"/>
      <c r="AE98" s="274"/>
      <c r="AG98" s="274"/>
      <c r="AH98" s="274"/>
      <c r="AI98" s="274"/>
      <c r="AJ98" s="274"/>
      <c r="AK98" s="274"/>
      <c r="AL98" s="274"/>
      <c r="AM98" s="274"/>
      <c r="AN98" s="274"/>
      <c r="AO98" s="274"/>
      <c r="AP98" s="274"/>
      <c r="AQ98" s="274"/>
      <c r="AR98" s="274"/>
      <c r="AU98" s="274"/>
      <c r="AV98" s="274"/>
      <c r="AY98" s="274"/>
      <c r="AZ98" s="274"/>
      <c r="BA98" s="274"/>
      <c r="BB98" s="274"/>
    </row>
    <row r="99" spans="2:54" ht="12" customHeight="1">
      <c r="B99" s="274"/>
      <c r="C99" s="274"/>
      <c r="D99" s="274"/>
      <c r="F99" s="274"/>
      <c r="G99" s="274"/>
      <c r="H99" s="274"/>
      <c r="I99" s="274"/>
      <c r="J99" s="274"/>
      <c r="K99" s="274"/>
      <c r="L99" s="274"/>
      <c r="M99" s="274"/>
      <c r="N99" s="274"/>
      <c r="O99" s="274"/>
      <c r="P99" s="274"/>
      <c r="Q99" s="274"/>
      <c r="T99" s="274"/>
      <c r="U99" s="274"/>
      <c r="X99" s="274"/>
      <c r="Y99" s="274"/>
      <c r="Z99" s="274"/>
      <c r="AA99" s="274"/>
      <c r="AC99" s="274"/>
      <c r="AD99" s="274"/>
      <c r="AE99" s="274"/>
      <c r="AG99" s="274"/>
      <c r="AH99" s="274"/>
      <c r="AI99" s="274"/>
      <c r="AJ99" s="274"/>
      <c r="AK99" s="274"/>
      <c r="AL99" s="274"/>
      <c r="AM99" s="274"/>
      <c r="AN99" s="274"/>
      <c r="AO99" s="274"/>
      <c r="AP99" s="274"/>
      <c r="AQ99" s="274"/>
      <c r="AR99" s="274"/>
      <c r="AU99" s="274"/>
      <c r="AV99" s="274"/>
      <c r="AY99" s="274"/>
      <c r="AZ99" s="274"/>
      <c r="BA99" s="274"/>
      <c r="BB99" s="274"/>
    </row>
    <row r="100" spans="2:54" ht="12" customHeight="1">
      <c r="B100" s="274"/>
      <c r="C100" s="274"/>
      <c r="D100" s="274"/>
      <c r="F100" s="274"/>
      <c r="G100" s="274"/>
      <c r="H100" s="274"/>
      <c r="I100" s="274"/>
      <c r="J100" s="274"/>
      <c r="K100" s="274"/>
      <c r="L100" s="274"/>
      <c r="M100" s="274"/>
      <c r="N100" s="274"/>
      <c r="O100" s="274"/>
      <c r="P100" s="274"/>
      <c r="Q100" s="274"/>
      <c r="T100" s="274"/>
      <c r="U100" s="274"/>
      <c r="X100" s="274"/>
      <c r="Y100" s="274"/>
      <c r="Z100" s="274"/>
      <c r="AA100" s="274"/>
      <c r="AC100" s="274"/>
      <c r="AD100" s="274"/>
      <c r="AE100" s="274"/>
      <c r="AG100" s="274"/>
      <c r="AH100" s="274"/>
      <c r="AI100" s="274"/>
      <c r="AJ100" s="274"/>
      <c r="AK100" s="274"/>
      <c r="AL100" s="274"/>
      <c r="AM100" s="274"/>
      <c r="AN100" s="274"/>
      <c r="AO100" s="274"/>
      <c r="AP100" s="274"/>
      <c r="AQ100" s="274"/>
      <c r="AR100" s="274"/>
      <c r="AU100" s="274"/>
      <c r="AV100" s="274"/>
      <c r="AY100" s="274"/>
      <c r="AZ100" s="274"/>
      <c r="BA100" s="274"/>
      <c r="BB100" s="274"/>
    </row>
    <row r="101" spans="2:54" ht="12" customHeight="1">
      <c r="B101" s="274"/>
      <c r="C101" s="274"/>
      <c r="D101" s="274"/>
      <c r="F101" s="274"/>
      <c r="G101" s="274"/>
      <c r="H101" s="274"/>
      <c r="I101" s="274"/>
      <c r="J101" s="274"/>
      <c r="K101" s="274"/>
      <c r="L101" s="274"/>
      <c r="M101" s="274"/>
      <c r="N101" s="274"/>
      <c r="O101" s="274"/>
      <c r="P101" s="274"/>
      <c r="Q101" s="274"/>
      <c r="T101" s="274"/>
      <c r="U101" s="274"/>
      <c r="X101" s="274"/>
      <c r="Y101" s="274"/>
      <c r="Z101" s="274"/>
      <c r="AA101" s="274"/>
      <c r="AC101" s="274"/>
      <c r="AD101" s="274"/>
      <c r="AE101" s="274"/>
      <c r="AG101" s="274"/>
      <c r="AH101" s="274"/>
      <c r="AI101" s="274"/>
      <c r="AJ101" s="274"/>
      <c r="AK101" s="274"/>
      <c r="AL101" s="274"/>
      <c r="AM101" s="274"/>
      <c r="AN101" s="274"/>
      <c r="AO101" s="274"/>
      <c r="AP101" s="274"/>
      <c r="AQ101" s="274"/>
      <c r="AR101" s="274"/>
      <c r="AU101" s="274"/>
      <c r="AV101" s="274"/>
      <c r="AY101" s="274"/>
      <c r="AZ101" s="274"/>
      <c r="BA101" s="274"/>
      <c r="BB101" s="274"/>
    </row>
    <row r="102" spans="2:54" ht="12" customHeight="1">
      <c r="B102" s="274"/>
      <c r="C102" s="274"/>
      <c r="D102" s="274"/>
      <c r="F102" s="274"/>
      <c r="G102" s="274"/>
      <c r="H102" s="274"/>
      <c r="I102" s="274"/>
      <c r="J102" s="274"/>
      <c r="K102" s="274"/>
      <c r="L102" s="274"/>
      <c r="M102" s="274"/>
      <c r="N102" s="274"/>
      <c r="O102" s="274"/>
      <c r="P102" s="274"/>
      <c r="Q102" s="274"/>
      <c r="T102" s="274"/>
      <c r="U102" s="274"/>
      <c r="X102" s="274"/>
      <c r="Y102" s="274"/>
      <c r="Z102" s="274"/>
      <c r="AA102" s="274"/>
      <c r="AC102" s="274"/>
      <c r="AD102" s="274"/>
      <c r="AE102" s="274"/>
      <c r="AG102" s="274"/>
      <c r="AH102" s="274"/>
      <c r="AI102" s="274"/>
      <c r="AJ102" s="274"/>
      <c r="AK102" s="274"/>
      <c r="AL102" s="274"/>
      <c r="AM102" s="274"/>
      <c r="AN102" s="274"/>
      <c r="AO102" s="274"/>
      <c r="AP102" s="274"/>
      <c r="AQ102" s="274"/>
      <c r="AR102" s="274"/>
      <c r="AU102" s="274"/>
      <c r="AV102" s="274"/>
      <c r="AY102" s="274"/>
      <c r="AZ102" s="274"/>
      <c r="BA102" s="274"/>
      <c r="BB102" s="274"/>
    </row>
    <row r="107" spans="2:54" ht="12" customHeight="1">
      <c r="B107" s="274"/>
      <c r="C107" s="274"/>
      <c r="D107" s="274"/>
      <c r="F107" s="274"/>
      <c r="G107" s="274"/>
      <c r="H107" s="274"/>
      <c r="I107" s="274"/>
      <c r="J107" s="274"/>
      <c r="K107" s="274"/>
      <c r="L107" s="274"/>
      <c r="M107" s="274"/>
      <c r="N107" s="274"/>
      <c r="O107" s="274"/>
      <c r="P107" s="274"/>
      <c r="Q107" s="274"/>
      <c r="T107" s="274"/>
      <c r="U107" s="274"/>
      <c r="X107" s="274"/>
      <c r="Y107" s="274"/>
      <c r="Z107" s="274"/>
      <c r="AA107" s="274"/>
      <c r="AC107" s="274"/>
      <c r="AD107" s="274"/>
      <c r="AE107" s="274"/>
      <c r="AG107" s="274"/>
      <c r="AH107" s="274"/>
      <c r="AI107" s="274"/>
      <c r="AJ107" s="274"/>
      <c r="AK107" s="274"/>
      <c r="AL107" s="274"/>
      <c r="AM107" s="274"/>
      <c r="AN107" s="274"/>
      <c r="AO107" s="274"/>
      <c r="AP107" s="274"/>
      <c r="AQ107" s="274"/>
      <c r="AR107" s="274"/>
      <c r="AU107" s="274"/>
      <c r="AV107" s="274"/>
      <c r="AY107" s="274"/>
      <c r="AZ107" s="274"/>
      <c r="BA107" s="274"/>
      <c r="BB107" s="274"/>
    </row>
    <row r="108" spans="2:54" ht="12" customHeight="1">
      <c r="B108" s="274"/>
      <c r="C108" s="274"/>
      <c r="D108" s="274"/>
      <c r="F108" s="274"/>
      <c r="G108" s="274"/>
      <c r="H108" s="274"/>
      <c r="I108" s="274"/>
      <c r="J108" s="274"/>
      <c r="K108" s="274"/>
      <c r="L108" s="274"/>
      <c r="M108" s="274"/>
      <c r="N108" s="274"/>
      <c r="O108" s="274"/>
      <c r="P108" s="274"/>
      <c r="Q108" s="274"/>
      <c r="T108" s="274"/>
      <c r="U108" s="274"/>
      <c r="X108" s="274"/>
      <c r="Y108" s="274"/>
      <c r="Z108" s="274"/>
      <c r="AA108" s="274"/>
      <c r="AC108" s="274"/>
      <c r="AD108" s="274"/>
      <c r="AE108" s="274"/>
      <c r="AG108" s="274"/>
      <c r="AH108" s="274"/>
      <c r="AI108" s="274"/>
      <c r="AJ108" s="274"/>
      <c r="AK108" s="274"/>
      <c r="AL108" s="274"/>
      <c r="AM108" s="274"/>
      <c r="AN108" s="274"/>
      <c r="AO108" s="274"/>
      <c r="AP108" s="274"/>
      <c r="AQ108" s="274"/>
      <c r="AR108" s="274"/>
      <c r="AU108" s="274"/>
      <c r="AV108" s="274"/>
      <c r="AY108" s="274"/>
      <c r="AZ108" s="274"/>
      <c r="BA108" s="274"/>
      <c r="BB108" s="274"/>
    </row>
    <row r="109" spans="2:54" ht="12" customHeight="1">
      <c r="B109" s="274"/>
      <c r="C109" s="274"/>
      <c r="D109" s="274"/>
      <c r="F109" s="274"/>
      <c r="G109" s="274"/>
      <c r="H109" s="274"/>
      <c r="I109" s="274"/>
      <c r="J109" s="274"/>
      <c r="K109" s="274"/>
      <c r="L109" s="274"/>
      <c r="M109" s="274"/>
      <c r="N109" s="274"/>
      <c r="O109" s="274"/>
      <c r="P109" s="274"/>
      <c r="Q109" s="274"/>
      <c r="T109" s="274"/>
      <c r="U109" s="274"/>
      <c r="X109" s="274"/>
      <c r="Y109" s="274"/>
      <c r="Z109" s="274"/>
      <c r="AA109" s="274"/>
      <c r="AC109" s="274"/>
      <c r="AD109" s="274"/>
      <c r="AE109" s="274"/>
      <c r="AG109" s="274"/>
      <c r="AH109" s="274"/>
      <c r="AI109" s="274"/>
      <c r="AJ109" s="274"/>
      <c r="AK109" s="274"/>
      <c r="AL109" s="274"/>
      <c r="AM109" s="274"/>
      <c r="AN109" s="274"/>
      <c r="AO109" s="274"/>
      <c r="AP109" s="274"/>
      <c r="AQ109" s="274"/>
      <c r="AR109" s="274"/>
      <c r="AU109" s="274"/>
      <c r="AV109" s="274"/>
      <c r="AY109" s="274"/>
      <c r="AZ109" s="274"/>
      <c r="BA109" s="274"/>
      <c r="BB109" s="274"/>
    </row>
    <row r="110" spans="2:54" ht="12" customHeight="1">
      <c r="B110" s="274"/>
      <c r="C110" s="274"/>
      <c r="D110" s="274"/>
      <c r="F110" s="274"/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274"/>
      <c r="T110" s="274"/>
      <c r="U110" s="274"/>
      <c r="X110" s="274"/>
      <c r="Y110" s="274"/>
      <c r="Z110" s="274"/>
      <c r="AA110" s="274"/>
      <c r="AC110" s="274"/>
      <c r="AD110" s="274"/>
      <c r="AE110" s="274"/>
      <c r="AG110" s="274"/>
      <c r="AH110" s="274"/>
      <c r="AI110" s="274"/>
      <c r="AJ110" s="274"/>
      <c r="AK110" s="274"/>
      <c r="AL110" s="274"/>
      <c r="AM110" s="274"/>
      <c r="AN110" s="274"/>
      <c r="AO110" s="274"/>
      <c r="AP110" s="274"/>
      <c r="AQ110" s="274"/>
      <c r="AR110" s="274"/>
      <c r="AU110" s="274"/>
      <c r="AV110" s="274"/>
      <c r="AY110" s="274"/>
      <c r="AZ110" s="274"/>
      <c r="BA110" s="274"/>
      <c r="BB110" s="274"/>
    </row>
    <row r="111" spans="2:54" ht="12" customHeight="1">
      <c r="B111" s="274"/>
      <c r="C111" s="274"/>
      <c r="D111" s="274"/>
      <c r="F111" s="274"/>
      <c r="G111" s="274"/>
      <c r="H111" s="274"/>
      <c r="I111" s="274"/>
      <c r="J111" s="274"/>
      <c r="K111" s="274"/>
      <c r="L111" s="274"/>
      <c r="M111" s="274"/>
      <c r="N111" s="274"/>
      <c r="O111" s="274"/>
      <c r="P111" s="274"/>
      <c r="Q111" s="274"/>
      <c r="T111" s="274"/>
      <c r="U111" s="274"/>
      <c r="X111" s="274"/>
      <c r="Y111" s="274"/>
      <c r="Z111" s="274"/>
      <c r="AA111" s="274"/>
      <c r="AC111" s="274"/>
      <c r="AD111" s="274"/>
      <c r="AE111" s="274"/>
      <c r="AG111" s="274"/>
      <c r="AH111" s="274"/>
      <c r="AI111" s="274"/>
      <c r="AJ111" s="274"/>
      <c r="AK111" s="274"/>
      <c r="AL111" s="274"/>
      <c r="AM111" s="274"/>
      <c r="AN111" s="274"/>
      <c r="AO111" s="274"/>
      <c r="AP111" s="274"/>
      <c r="AQ111" s="274"/>
      <c r="AR111" s="274"/>
      <c r="AU111" s="274"/>
      <c r="AV111" s="274"/>
      <c r="AY111" s="274"/>
      <c r="AZ111" s="274"/>
      <c r="BA111" s="274"/>
      <c r="BB111" s="274"/>
    </row>
    <row r="116" spans="2:54" ht="12" customHeight="1">
      <c r="B116" s="274"/>
      <c r="C116" s="274"/>
      <c r="D116" s="274"/>
      <c r="F116" s="274"/>
      <c r="G116" s="274"/>
      <c r="H116" s="274"/>
      <c r="I116" s="274"/>
      <c r="J116" s="274"/>
      <c r="K116" s="274"/>
      <c r="L116" s="274"/>
      <c r="M116" s="274"/>
      <c r="N116" s="274"/>
      <c r="O116" s="274"/>
      <c r="P116" s="274"/>
      <c r="Q116" s="274"/>
      <c r="T116" s="274"/>
      <c r="U116" s="274"/>
      <c r="X116" s="274"/>
      <c r="Y116" s="274"/>
      <c r="Z116" s="274"/>
      <c r="AA116" s="274"/>
      <c r="AC116" s="274"/>
      <c r="AD116" s="274"/>
      <c r="AE116" s="274"/>
      <c r="AG116" s="274"/>
      <c r="AH116" s="274"/>
      <c r="AI116" s="274"/>
      <c r="AJ116" s="274"/>
      <c r="AK116" s="274"/>
      <c r="AL116" s="274"/>
      <c r="AM116" s="274"/>
      <c r="AN116" s="274"/>
      <c r="AO116" s="274"/>
      <c r="AP116" s="274"/>
      <c r="AQ116" s="274"/>
      <c r="AR116" s="274"/>
      <c r="AU116" s="274"/>
      <c r="AV116" s="274"/>
      <c r="AY116" s="274"/>
      <c r="AZ116" s="274"/>
      <c r="BA116" s="274"/>
      <c r="BB116" s="274"/>
    </row>
    <row r="117" spans="2:54" ht="12" customHeight="1">
      <c r="B117" s="274"/>
      <c r="C117" s="274"/>
      <c r="D117" s="274"/>
      <c r="F117" s="274"/>
      <c r="G117" s="274"/>
      <c r="H117" s="274"/>
      <c r="I117" s="274"/>
      <c r="J117" s="274"/>
      <c r="K117" s="274"/>
      <c r="L117" s="274"/>
      <c r="M117" s="274"/>
      <c r="N117" s="274"/>
      <c r="O117" s="274"/>
      <c r="P117" s="274"/>
      <c r="Q117" s="274"/>
      <c r="T117" s="274"/>
      <c r="U117" s="274"/>
      <c r="X117" s="274"/>
      <c r="Y117" s="274"/>
      <c r="Z117" s="274"/>
      <c r="AA117" s="274"/>
      <c r="AC117" s="274"/>
      <c r="AD117" s="274"/>
      <c r="AE117" s="274"/>
      <c r="AG117" s="274"/>
      <c r="AH117" s="274"/>
      <c r="AI117" s="274"/>
      <c r="AJ117" s="274"/>
      <c r="AK117" s="274"/>
      <c r="AL117" s="274"/>
      <c r="AM117" s="274"/>
      <c r="AN117" s="274"/>
      <c r="AO117" s="274"/>
      <c r="AP117" s="274"/>
      <c r="AQ117" s="274"/>
      <c r="AR117" s="274"/>
      <c r="AU117" s="274"/>
      <c r="AV117" s="274"/>
      <c r="AY117" s="274"/>
      <c r="AZ117" s="274"/>
      <c r="BA117" s="274"/>
      <c r="BB117" s="274"/>
    </row>
    <row r="118" spans="2:54" ht="12" customHeight="1">
      <c r="B118" s="274"/>
      <c r="C118" s="274"/>
      <c r="D118" s="274"/>
      <c r="F118" s="274"/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  <c r="Q118" s="274"/>
      <c r="T118" s="274"/>
      <c r="U118" s="274"/>
      <c r="X118" s="274"/>
      <c r="Y118" s="274"/>
      <c r="Z118" s="274"/>
      <c r="AA118" s="274"/>
      <c r="AC118" s="274"/>
      <c r="AD118" s="274"/>
      <c r="AE118" s="274"/>
      <c r="AG118" s="274"/>
      <c r="AH118" s="274"/>
      <c r="AI118" s="274"/>
      <c r="AJ118" s="274"/>
      <c r="AK118" s="274"/>
      <c r="AL118" s="274"/>
      <c r="AM118" s="274"/>
      <c r="AN118" s="274"/>
      <c r="AO118" s="274"/>
      <c r="AP118" s="274"/>
      <c r="AQ118" s="274"/>
      <c r="AR118" s="274"/>
      <c r="AU118" s="274"/>
      <c r="AV118" s="274"/>
      <c r="AY118" s="274"/>
      <c r="AZ118" s="274"/>
      <c r="BA118" s="274"/>
      <c r="BB118" s="274"/>
    </row>
    <row r="119" spans="2:54" ht="12" customHeight="1">
      <c r="B119" s="274"/>
      <c r="C119" s="274"/>
      <c r="D119" s="274"/>
      <c r="F119" s="274"/>
      <c r="G119" s="274"/>
      <c r="H119" s="274"/>
      <c r="I119" s="274"/>
      <c r="J119" s="274"/>
      <c r="K119" s="274"/>
      <c r="L119" s="274"/>
      <c r="M119" s="274"/>
      <c r="N119" s="274"/>
      <c r="O119" s="274"/>
      <c r="P119" s="274"/>
      <c r="Q119" s="274"/>
      <c r="T119" s="274"/>
      <c r="U119" s="274"/>
      <c r="X119" s="274"/>
      <c r="Y119" s="274"/>
      <c r="Z119" s="274"/>
      <c r="AA119" s="274"/>
      <c r="AC119" s="274"/>
      <c r="AD119" s="274"/>
      <c r="AE119" s="274"/>
      <c r="AG119" s="274"/>
      <c r="AH119" s="274"/>
      <c r="AI119" s="274"/>
      <c r="AJ119" s="274"/>
      <c r="AK119" s="274"/>
      <c r="AL119" s="274"/>
      <c r="AM119" s="274"/>
      <c r="AN119" s="274"/>
      <c r="AO119" s="274"/>
      <c r="AP119" s="274"/>
      <c r="AQ119" s="274"/>
      <c r="AR119" s="274"/>
      <c r="AU119" s="274"/>
      <c r="AV119" s="274"/>
      <c r="AY119" s="274"/>
      <c r="AZ119" s="274"/>
      <c r="BA119" s="274"/>
      <c r="BB119" s="274"/>
    </row>
    <row r="120" spans="2:54" ht="12" customHeight="1">
      <c r="B120" s="274"/>
      <c r="C120" s="274"/>
      <c r="D120" s="274"/>
      <c r="F120" s="274"/>
      <c r="G120" s="274"/>
      <c r="H120" s="274"/>
      <c r="I120" s="274"/>
      <c r="J120" s="274"/>
      <c r="K120" s="274"/>
      <c r="L120" s="274"/>
      <c r="M120" s="274"/>
      <c r="N120" s="274"/>
      <c r="O120" s="274"/>
      <c r="P120" s="274"/>
      <c r="Q120" s="274"/>
      <c r="T120" s="274"/>
      <c r="U120" s="274"/>
      <c r="X120" s="274"/>
      <c r="Y120" s="274"/>
      <c r="Z120" s="274"/>
      <c r="AA120" s="274"/>
      <c r="AC120" s="274"/>
      <c r="AD120" s="274"/>
      <c r="AE120" s="274"/>
      <c r="AG120" s="274"/>
      <c r="AH120" s="274"/>
      <c r="AI120" s="274"/>
      <c r="AJ120" s="274"/>
      <c r="AK120" s="274"/>
      <c r="AL120" s="274"/>
      <c r="AM120" s="274"/>
      <c r="AN120" s="274"/>
      <c r="AO120" s="274"/>
      <c r="AP120" s="274"/>
      <c r="AQ120" s="274"/>
      <c r="AR120" s="274"/>
      <c r="AU120" s="274"/>
      <c r="AV120" s="274"/>
      <c r="AY120" s="274"/>
      <c r="AZ120" s="274"/>
      <c r="BA120" s="274"/>
      <c r="BB120" s="274"/>
    </row>
  </sheetData>
  <sheetProtection/>
  <mergeCells count="2">
    <mergeCell ref="AI3:AM3"/>
    <mergeCell ref="AD3:AH3"/>
  </mergeCells>
  <dataValidations count="1">
    <dataValidation allowBlank="1" showInputMessage="1" showErrorMessage="1" sqref="F1:X1 F4:O65536 P3:X65536 AG5:AY43 C6:D6 C38:D38 C14:D14 C22:D22 C30:D30 D5 E6:E11 E14:E19 E22:E27 E30:E35 E38:E43 AD6:AF6 AF7:AF11 AD14:AF14 AF15:AF19 AD22:AF22 AF23:AF27 AD30:AF30 AF31:AF35 AD38:AF38 AF39:AF43 E84:E65536"/>
  </dataValidation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JAPA関西</dc:creator>
  <cp:keywords/>
  <dc:description/>
  <cp:lastModifiedBy>Clair</cp:lastModifiedBy>
  <cp:lastPrinted>2016-04-24T10:01:38Z</cp:lastPrinted>
  <dcterms:created xsi:type="dcterms:W3CDTF">1997-01-08T22:48:59Z</dcterms:created>
  <dcterms:modified xsi:type="dcterms:W3CDTF">2016-04-24T10:08:15Z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1041-6.6.0.2538</vt:lpwstr>
  </property>
</Properties>
</file>